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tente\Documents\CM1\2025-04\B\"/>
    </mc:Choice>
  </mc:AlternateContent>
  <xr:revisionPtr revIDLastSave="0" documentId="13_ncr:1_{61E2262D-05F2-4A17-B7A0-C5A22921C6FD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Q1 Base" sheetId="1" r:id="rId1"/>
    <sheet name="Q1 (i)" sheetId="2" r:id="rId2"/>
    <sheet name="Q1 (ii)" sheetId="3" r:id="rId3"/>
    <sheet name="Q1 Answers" sheetId="4" r:id="rId4"/>
    <sheet name="Q2 Base" sheetId="5" r:id="rId5"/>
    <sheet name="Q2 (i)" sheetId="6" r:id="rId6"/>
    <sheet name="Q2 (ii)" sheetId="7" r:id="rId7"/>
    <sheet name="Q2 Answers" sheetId="9" r:id="rId8"/>
    <sheet name="Q3 Base" sheetId="8" r:id="rId9"/>
    <sheet name="Q3 (i)" sheetId="10" r:id="rId10"/>
    <sheet name="Q3 (ii)" sheetId="18" r:id="rId11"/>
    <sheet name="Q3 (iii)" sheetId="12" r:id="rId12"/>
    <sheet name="Q3 Answers" sheetId="13" r:id="rId13"/>
    <sheet name="Q4 Base" sheetId="14" r:id="rId14"/>
    <sheet name="Q4 (i)" sheetId="15" r:id="rId15"/>
    <sheet name="Q4 (ii)" sheetId="16" r:id="rId16"/>
    <sheet name="Q4 Answers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8" l="1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9" i="18"/>
  <c r="I13" i="15"/>
  <c r="H13" i="15"/>
  <c r="H12" i="15"/>
  <c r="M12" i="16"/>
  <c r="M31" i="16" l="1"/>
  <c r="N31" i="15"/>
  <c r="I12" i="15"/>
  <c r="K12" i="15" s="1"/>
  <c r="P2" i="18" l="1"/>
  <c r="O9" i="18"/>
  <c r="N9" i="18"/>
  <c r="F4" i="6" l="1"/>
  <c r="L14" i="15" l="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12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B2" i="18"/>
  <c r="H10" i="18"/>
  <c r="H11" i="18"/>
  <c r="H12" i="18"/>
  <c r="H13" i="18"/>
  <c r="H14" i="18"/>
  <c r="H15" i="18"/>
  <c r="H16" i="18"/>
  <c r="H17" i="18"/>
  <c r="I17" i="18" s="1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I33" i="18" s="1"/>
  <c r="H34" i="18"/>
  <c r="H35" i="18"/>
  <c r="H36" i="18"/>
  <c r="H37" i="18"/>
  <c r="H38" i="18"/>
  <c r="H9" i="18"/>
  <c r="K31" i="16"/>
  <c r="O12" i="16"/>
  <c r="E16" i="10"/>
  <c r="E20" i="10"/>
  <c r="E24" i="10"/>
  <c r="J24" i="10" s="1"/>
  <c r="E28" i="10"/>
  <c r="J28" i="10" s="1"/>
  <c r="E7" i="10"/>
  <c r="E11" i="10"/>
  <c r="E26" i="10"/>
  <c r="E17" i="10"/>
  <c r="E21" i="10"/>
  <c r="E8" i="10"/>
  <c r="J8" i="10" s="1"/>
  <c r="E12" i="10"/>
  <c r="J12" i="10" s="1"/>
  <c r="E31" i="10"/>
  <c r="E27" i="10"/>
  <c r="D29" i="2"/>
  <c r="D30" i="2"/>
  <c r="D31" i="2"/>
  <c r="D32" i="2"/>
  <c r="H33" i="3" s="1"/>
  <c r="D33" i="2"/>
  <c r="D5" i="2"/>
  <c r="D6" i="2"/>
  <c r="D7" i="2"/>
  <c r="D8" i="2"/>
  <c r="H9" i="3" s="1"/>
  <c r="D9" i="2"/>
  <c r="D10" i="2"/>
  <c r="D11" i="2"/>
  <c r="D12" i="2"/>
  <c r="H13" i="3" s="1"/>
  <c r="D13" i="2"/>
  <c r="D14" i="2"/>
  <c r="D15" i="2"/>
  <c r="D16" i="2"/>
  <c r="H17" i="3" s="1"/>
  <c r="D17" i="2"/>
  <c r="D18" i="2"/>
  <c r="D19" i="2"/>
  <c r="D20" i="2"/>
  <c r="H21" i="3" s="1"/>
  <c r="D21" i="2"/>
  <c r="D22" i="2"/>
  <c r="D23" i="2"/>
  <c r="D24" i="2"/>
  <c r="H25" i="3" s="1"/>
  <c r="D25" i="2"/>
  <c r="D26" i="2"/>
  <c r="D27" i="2"/>
  <c r="D28" i="2"/>
  <c r="H29" i="3" s="1"/>
  <c r="D4" i="2"/>
  <c r="M38" i="18"/>
  <c r="D38" i="18"/>
  <c r="C38" i="18"/>
  <c r="G38" i="18" s="1"/>
  <c r="M37" i="18"/>
  <c r="D37" i="18"/>
  <c r="C37" i="18"/>
  <c r="G37" i="18" s="1"/>
  <c r="M36" i="18"/>
  <c r="D36" i="18"/>
  <c r="C36" i="18"/>
  <c r="G36" i="18" s="1"/>
  <c r="M35" i="18"/>
  <c r="G35" i="18"/>
  <c r="D35" i="18"/>
  <c r="C35" i="18"/>
  <c r="M34" i="18"/>
  <c r="D34" i="18"/>
  <c r="C34" i="18"/>
  <c r="M33" i="18"/>
  <c r="D33" i="18"/>
  <c r="C33" i="18"/>
  <c r="G33" i="18" s="1"/>
  <c r="M32" i="18"/>
  <c r="D32" i="18"/>
  <c r="C32" i="18"/>
  <c r="G32" i="18" s="1"/>
  <c r="M31" i="18"/>
  <c r="G31" i="18"/>
  <c r="D31" i="18"/>
  <c r="C31" i="18"/>
  <c r="M30" i="18"/>
  <c r="D30" i="18"/>
  <c r="C30" i="18"/>
  <c r="G30" i="18" s="1"/>
  <c r="M29" i="18"/>
  <c r="D29" i="18"/>
  <c r="C29" i="18"/>
  <c r="G29" i="18" s="1"/>
  <c r="M28" i="18"/>
  <c r="D28" i="18"/>
  <c r="C28" i="18"/>
  <c r="G28" i="18" s="1"/>
  <c r="M27" i="18"/>
  <c r="G27" i="18"/>
  <c r="D27" i="18"/>
  <c r="C27" i="18"/>
  <c r="M26" i="18"/>
  <c r="I26" i="18"/>
  <c r="J26" i="18" s="1"/>
  <c r="D26" i="18"/>
  <c r="C26" i="18"/>
  <c r="G26" i="18" s="1"/>
  <c r="M25" i="18"/>
  <c r="D25" i="18"/>
  <c r="C25" i="18"/>
  <c r="G25" i="18" s="1"/>
  <c r="M24" i="18"/>
  <c r="D24" i="18"/>
  <c r="C24" i="18"/>
  <c r="G24" i="18" s="1"/>
  <c r="M23" i="18"/>
  <c r="I23" i="18"/>
  <c r="D23" i="18"/>
  <c r="C23" i="18"/>
  <c r="M22" i="18"/>
  <c r="D22" i="18"/>
  <c r="C22" i="18"/>
  <c r="G22" i="18" s="1"/>
  <c r="M21" i="18"/>
  <c r="D21" i="18"/>
  <c r="C21" i="18"/>
  <c r="G21" i="18" s="1"/>
  <c r="M20" i="18"/>
  <c r="D20" i="18"/>
  <c r="C20" i="18"/>
  <c r="G20" i="18" s="1"/>
  <c r="M19" i="18"/>
  <c r="G19" i="18"/>
  <c r="D19" i="18"/>
  <c r="C19" i="18"/>
  <c r="M18" i="18"/>
  <c r="D18" i="18"/>
  <c r="C18" i="18"/>
  <c r="M17" i="18"/>
  <c r="D17" i="18"/>
  <c r="C17" i="18"/>
  <c r="G17" i="18" s="1"/>
  <c r="M16" i="18"/>
  <c r="G16" i="18"/>
  <c r="D16" i="18"/>
  <c r="C16" i="18"/>
  <c r="M15" i="18"/>
  <c r="G15" i="18"/>
  <c r="D15" i="18"/>
  <c r="C15" i="18"/>
  <c r="M14" i="18"/>
  <c r="D14" i="18"/>
  <c r="C14" i="18"/>
  <c r="M13" i="18"/>
  <c r="I13" i="18"/>
  <c r="D13" i="18"/>
  <c r="C13" i="18"/>
  <c r="G13" i="18" s="1"/>
  <c r="M12" i="18"/>
  <c r="D12" i="18"/>
  <c r="C12" i="18"/>
  <c r="G12" i="18" s="1"/>
  <c r="M11" i="18"/>
  <c r="G11" i="18"/>
  <c r="D11" i="18"/>
  <c r="C11" i="18"/>
  <c r="M10" i="18"/>
  <c r="D10" i="18"/>
  <c r="C10" i="18"/>
  <c r="G10" i="18" s="1"/>
  <c r="M9" i="18"/>
  <c r="D9" i="18"/>
  <c r="C9" i="18"/>
  <c r="G9" i="18" s="1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2" i="16"/>
  <c r="D12" i="16"/>
  <c r="O11" i="16"/>
  <c r="L11" i="16"/>
  <c r="H11" i="16"/>
  <c r="D11" i="16"/>
  <c r="B7" i="16"/>
  <c r="F12" i="15"/>
  <c r="G12" i="15" s="1"/>
  <c r="J11" i="15"/>
  <c r="D11" i="15"/>
  <c r="H7" i="15"/>
  <c r="B5" i="15"/>
  <c r="M2" i="15"/>
  <c r="L2" i="15"/>
  <c r="E33" i="10"/>
  <c r="D33" i="10"/>
  <c r="G33" i="10" s="1"/>
  <c r="I33" i="10" s="1"/>
  <c r="C33" i="10"/>
  <c r="F33" i="10" s="1"/>
  <c r="H33" i="10" s="1"/>
  <c r="G32" i="10"/>
  <c r="I32" i="10" s="1"/>
  <c r="E32" i="10"/>
  <c r="D32" i="10"/>
  <c r="C32" i="10"/>
  <c r="F32" i="10" s="1"/>
  <c r="H32" i="10" s="1"/>
  <c r="G31" i="10"/>
  <c r="I31" i="10" s="1"/>
  <c r="D31" i="10"/>
  <c r="C31" i="10"/>
  <c r="F31" i="10" s="1"/>
  <c r="H30" i="10"/>
  <c r="E30" i="10"/>
  <c r="D30" i="10"/>
  <c r="G30" i="10" s="1"/>
  <c r="C30" i="10"/>
  <c r="F30" i="10" s="1"/>
  <c r="E29" i="10"/>
  <c r="D29" i="10"/>
  <c r="G29" i="10" s="1"/>
  <c r="I29" i="10" s="1"/>
  <c r="C29" i="10"/>
  <c r="F29" i="10" s="1"/>
  <c r="H29" i="10" s="1"/>
  <c r="G28" i="10"/>
  <c r="I28" i="10" s="1"/>
  <c r="D28" i="10"/>
  <c r="C28" i="10"/>
  <c r="F28" i="10" s="1"/>
  <c r="H28" i="10" s="1"/>
  <c r="G27" i="10"/>
  <c r="I27" i="10" s="1"/>
  <c r="D27" i="10"/>
  <c r="C27" i="10"/>
  <c r="F27" i="10" s="1"/>
  <c r="H26" i="10"/>
  <c r="D26" i="10"/>
  <c r="G26" i="10" s="1"/>
  <c r="C26" i="10"/>
  <c r="F26" i="10" s="1"/>
  <c r="E25" i="10"/>
  <c r="D25" i="10"/>
  <c r="G25" i="10" s="1"/>
  <c r="I25" i="10" s="1"/>
  <c r="C25" i="10"/>
  <c r="F25" i="10" s="1"/>
  <c r="G24" i="10"/>
  <c r="I24" i="10" s="1"/>
  <c r="D24" i="10"/>
  <c r="C24" i="10"/>
  <c r="F24" i="10" s="1"/>
  <c r="H24" i="10" s="1"/>
  <c r="G23" i="10"/>
  <c r="I23" i="10" s="1"/>
  <c r="E23" i="10"/>
  <c r="D23" i="10"/>
  <c r="C23" i="10"/>
  <c r="F23" i="10" s="1"/>
  <c r="E22" i="10"/>
  <c r="D22" i="10"/>
  <c r="G22" i="10" s="1"/>
  <c r="I22" i="10" s="1"/>
  <c r="C22" i="10"/>
  <c r="F22" i="10" s="1"/>
  <c r="D21" i="10"/>
  <c r="G21" i="10" s="1"/>
  <c r="I21" i="10" s="1"/>
  <c r="C21" i="10"/>
  <c r="F21" i="10" s="1"/>
  <c r="H21" i="10" s="1"/>
  <c r="G20" i="10"/>
  <c r="I20" i="10" s="1"/>
  <c r="D20" i="10"/>
  <c r="C20" i="10"/>
  <c r="F20" i="10" s="1"/>
  <c r="H20" i="10" s="1"/>
  <c r="G19" i="10"/>
  <c r="I19" i="10" s="1"/>
  <c r="E19" i="10"/>
  <c r="D19" i="10"/>
  <c r="C19" i="10"/>
  <c r="F19" i="10" s="1"/>
  <c r="H19" i="10" s="1"/>
  <c r="E18" i="10"/>
  <c r="D18" i="10"/>
  <c r="G18" i="10" s="1"/>
  <c r="C18" i="10"/>
  <c r="F18" i="10" s="1"/>
  <c r="H18" i="10" s="1"/>
  <c r="D17" i="10"/>
  <c r="G17" i="10" s="1"/>
  <c r="I17" i="10" s="1"/>
  <c r="C17" i="10"/>
  <c r="F17" i="10" s="1"/>
  <c r="H17" i="10" s="1"/>
  <c r="G16" i="10"/>
  <c r="I16" i="10" s="1"/>
  <c r="D16" i="10"/>
  <c r="C16" i="10"/>
  <c r="F16" i="10" s="1"/>
  <c r="H16" i="10" s="1"/>
  <c r="G15" i="10"/>
  <c r="I15" i="10" s="1"/>
  <c r="E15" i="10"/>
  <c r="D15" i="10"/>
  <c r="C15" i="10"/>
  <c r="F15" i="10" s="1"/>
  <c r="H14" i="10"/>
  <c r="E14" i="10"/>
  <c r="D14" i="10"/>
  <c r="G14" i="10" s="1"/>
  <c r="C14" i="10"/>
  <c r="F14" i="10" s="1"/>
  <c r="E13" i="10"/>
  <c r="D13" i="10"/>
  <c r="G13" i="10" s="1"/>
  <c r="I13" i="10" s="1"/>
  <c r="C13" i="10"/>
  <c r="F13" i="10" s="1"/>
  <c r="H13" i="10" s="1"/>
  <c r="G12" i="10"/>
  <c r="I12" i="10" s="1"/>
  <c r="D12" i="10"/>
  <c r="C12" i="10"/>
  <c r="F12" i="10" s="1"/>
  <c r="H12" i="10" s="1"/>
  <c r="G11" i="10"/>
  <c r="I11" i="10" s="1"/>
  <c r="D11" i="10"/>
  <c r="C11" i="10"/>
  <c r="F11" i="10" s="1"/>
  <c r="H10" i="10"/>
  <c r="E10" i="10"/>
  <c r="D10" i="10"/>
  <c r="G10" i="10" s="1"/>
  <c r="C10" i="10"/>
  <c r="F10" i="10" s="1"/>
  <c r="E9" i="10"/>
  <c r="D9" i="10"/>
  <c r="G9" i="10" s="1"/>
  <c r="I9" i="10" s="1"/>
  <c r="C9" i="10"/>
  <c r="F9" i="10" s="1"/>
  <c r="G8" i="10"/>
  <c r="I8" i="10" s="1"/>
  <c r="D8" i="10"/>
  <c r="C8" i="10"/>
  <c r="F8" i="10" s="1"/>
  <c r="H8" i="10" s="1"/>
  <c r="G7" i="10"/>
  <c r="I7" i="10" s="1"/>
  <c r="D7" i="10"/>
  <c r="C7" i="10"/>
  <c r="F7" i="10" s="1"/>
  <c r="E6" i="10"/>
  <c r="D6" i="10"/>
  <c r="G6" i="10" s="1"/>
  <c r="I6" i="10" s="1"/>
  <c r="C6" i="10"/>
  <c r="F6" i="10" s="1"/>
  <c r="E5" i="10"/>
  <c r="D5" i="10"/>
  <c r="G5" i="10" s="1"/>
  <c r="I5" i="10" s="1"/>
  <c r="C5" i="10"/>
  <c r="F5" i="10" s="1"/>
  <c r="H5" i="10" s="1"/>
  <c r="G4" i="10"/>
  <c r="I4" i="10" s="1"/>
  <c r="E4" i="10"/>
  <c r="D4" i="10"/>
  <c r="C4" i="10"/>
  <c r="F4" i="10" s="1"/>
  <c r="H4" i="10" s="1"/>
  <c r="D1" i="7"/>
  <c r="D33" i="6"/>
  <c r="C33" i="6"/>
  <c r="E33" i="6" s="1"/>
  <c r="F33" i="6" s="1"/>
  <c r="D32" i="6"/>
  <c r="C32" i="6"/>
  <c r="E32" i="6" s="1"/>
  <c r="F32" i="6" s="1"/>
  <c r="F31" i="6"/>
  <c r="D31" i="6"/>
  <c r="C31" i="6"/>
  <c r="E31" i="6" s="1"/>
  <c r="D30" i="6"/>
  <c r="C30" i="6"/>
  <c r="D29" i="6"/>
  <c r="C29" i="6"/>
  <c r="E29" i="6" s="1"/>
  <c r="F29" i="6" s="1"/>
  <c r="D28" i="6"/>
  <c r="C28" i="6"/>
  <c r="E28" i="6" s="1"/>
  <c r="F28" i="6" s="1"/>
  <c r="F27" i="6"/>
  <c r="D27" i="6"/>
  <c r="C27" i="6"/>
  <c r="E27" i="6" s="1"/>
  <c r="D26" i="6"/>
  <c r="C26" i="6"/>
  <c r="D25" i="6"/>
  <c r="C25" i="6"/>
  <c r="E25" i="6" s="1"/>
  <c r="F25" i="6" s="1"/>
  <c r="D24" i="6"/>
  <c r="C24" i="6"/>
  <c r="E24" i="6" s="1"/>
  <c r="F24" i="6" s="1"/>
  <c r="F23" i="6"/>
  <c r="D23" i="6"/>
  <c r="C23" i="6"/>
  <c r="E23" i="6" s="1"/>
  <c r="D22" i="6"/>
  <c r="C22" i="6"/>
  <c r="D21" i="6"/>
  <c r="C21" i="6"/>
  <c r="E21" i="6" s="1"/>
  <c r="F21" i="6" s="1"/>
  <c r="D20" i="6"/>
  <c r="C20" i="6"/>
  <c r="E20" i="6" s="1"/>
  <c r="F20" i="6" s="1"/>
  <c r="F19" i="6"/>
  <c r="D19" i="6"/>
  <c r="C19" i="6"/>
  <c r="E19" i="6" s="1"/>
  <c r="D18" i="6"/>
  <c r="C18" i="6"/>
  <c r="D17" i="6"/>
  <c r="C17" i="6"/>
  <c r="E17" i="6" s="1"/>
  <c r="F17" i="6" s="1"/>
  <c r="D16" i="6"/>
  <c r="C16" i="6"/>
  <c r="E16" i="6" s="1"/>
  <c r="F16" i="6" s="1"/>
  <c r="F15" i="6"/>
  <c r="D15" i="6"/>
  <c r="C15" i="6"/>
  <c r="E15" i="6" s="1"/>
  <c r="D14" i="6"/>
  <c r="C14" i="6"/>
  <c r="D13" i="6"/>
  <c r="C13" i="6"/>
  <c r="E13" i="6" s="1"/>
  <c r="F13" i="6" s="1"/>
  <c r="D12" i="6"/>
  <c r="C12" i="6"/>
  <c r="E12" i="6" s="1"/>
  <c r="F12" i="6" s="1"/>
  <c r="F11" i="6"/>
  <c r="D11" i="6"/>
  <c r="C11" i="6"/>
  <c r="E11" i="6" s="1"/>
  <c r="H10" i="6"/>
  <c r="E10" i="6"/>
  <c r="F10" i="6" s="1"/>
  <c r="D10" i="6"/>
  <c r="C10" i="6"/>
  <c r="D9" i="6"/>
  <c r="E9" i="6" s="1"/>
  <c r="F9" i="6" s="1"/>
  <c r="C9" i="6"/>
  <c r="D8" i="6"/>
  <c r="C8" i="6"/>
  <c r="E8" i="6" s="1"/>
  <c r="F8" i="6" s="1"/>
  <c r="D7" i="6"/>
  <c r="C7" i="6"/>
  <c r="E7" i="6" s="1"/>
  <c r="F7" i="6" s="1"/>
  <c r="E6" i="6"/>
  <c r="F6" i="6" s="1"/>
  <c r="D6" i="6"/>
  <c r="C6" i="6"/>
  <c r="D5" i="6"/>
  <c r="E5" i="6" s="1"/>
  <c r="F5" i="6" s="1"/>
  <c r="C5" i="6"/>
  <c r="D4" i="6"/>
  <c r="C4" i="6"/>
  <c r="E4" i="6" s="1"/>
  <c r="I34" i="3"/>
  <c r="H34" i="3"/>
  <c r="J34" i="3" s="1"/>
  <c r="D34" i="3"/>
  <c r="C34" i="3"/>
  <c r="I33" i="3"/>
  <c r="D33" i="3"/>
  <c r="C33" i="3"/>
  <c r="I32" i="3"/>
  <c r="H32" i="3"/>
  <c r="D32" i="3"/>
  <c r="C32" i="3"/>
  <c r="J31" i="3"/>
  <c r="K31" i="3" s="1"/>
  <c r="I31" i="3"/>
  <c r="H31" i="3"/>
  <c r="D31" i="3"/>
  <c r="C31" i="3"/>
  <c r="J30" i="3"/>
  <c r="I30" i="3"/>
  <c r="H30" i="3"/>
  <c r="D30" i="3"/>
  <c r="C30" i="3"/>
  <c r="I29" i="3"/>
  <c r="D29" i="3"/>
  <c r="C29" i="3"/>
  <c r="I28" i="3"/>
  <c r="D28" i="3"/>
  <c r="C28" i="3"/>
  <c r="I27" i="3"/>
  <c r="D27" i="3"/>
  <c r="C27" i="3"/>
  <c r="I26" i="3"/>
  <c r="D26" i="3"/>
  <c r="C26" i="3"/>
  <c r="I25" i="3"/>
  <c r="D25" i="3"/>
  <c r="C25" i="3"/>
  <c r="I24" i="3"/>
  <c r="D24" i="3"/>
  <c r="C24" i="3"/>
  <c r="I23" i="3"/>
  <c r="D23" i="3"/>
  <c r="C23" i="3"/>
  <c r="I22" i="3"/>
  <c r="D22" i="3"/>
  <c r="C22" i="3"/>
  <c r="I21" i="3"/>
  <c r="D21" i="3"/>
  <c r="C21" i="3"/>
  <c r="I20" i="3"/>
  <c r="D20" i="3"/>
  <c r="C20" i="3"/>
  <c r="I19" i="3"/>
  <c r="D19" i="3"/>
  <c r="C19" i="3"/>
  <c r="I18" i="3"/>
  <c r="D18" i="3"/>
  <c r="C18" i="3"/>
  <c r="I17" i="3"/>
  <c r="D17" i="3"/>
  <c r="C17" i="3"/>
  <c r="I16" i="3"/>
  <c r="D16" i="3"/>
  <c r="C16" i="3"/>
  <c r="I15" i="3"/>
  <c r="D15" i="3"/>
  <c r="C15" i="3"/>
  <c r="I14" i="3"/>
  <c r="D14" i="3"/>
  <c r="C14" i="3"/>
  <c r="I13" i="3"/>
  <c r="D13" i="3"/>
  <c r="C13" i="3"/>
  <c r="S12" i="3"/>
  <c r="I12" i="3"/>
  <c r="D12" i="3"/>
  <c r="C12" i="3"/>
  <c r="I11" i="3"/>
  <c r="D11" i="3"/>
  <c r="C11" i="3"/>
  <c r="I10" i="3"/>
  <c r="D10" i="3"/>
  <c r="C10" i="3"/>
  <c r="I9" i="3"/>
  <c r="D9" i="3"/>
  <c r="C9" i="3"/>
  <c r="I8" i="3"/>
  <c r="D8" i="3"/>
  <c r="C8" i="3"/>
  <c r="I7" i="3"/>
  <c r="D7" i="3"/>
  <c r="C7" i="3"/>
  <c r="I6" i="3"/>
  <c r="D6" i="3"/>
  <c r="C6" i="3"/>
  <c r="I5" i="3"/>
  <c r="D5" i="3"/>
  <c r="C5" i="3"/>
  <c r="H28" i="3"/>
  <c r="H27" i="3"/>
  <c r="H26" i="3"/>
  <c r="H24" i="3"/>
  <c r="H23" i="3"/>
  <c r="H22" i="3"/>
  <c r="H20" i="3"/>
  <c r="H19" i="3"/>
  <c r="J19" i="3" s="1"/>
  <c r="H18" i="3"/>
  <c r="H16" i="3"/>
  <c r="H15" i="3"/>
  <c r="J15" i="3" s="1"/>
  <c r="H14" i="3"/>
  <c r="N12" i="2"/>
  <c r="H12" i="3"/>
  <c r="H11" i="3"/>
  <c r="H10" i="3"/>
  <c r="H8" i="3"/>
  <c r="H6" i="3"/>
  <c r="D12" i="15" l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D70" i="15" s="1"/>
  <c r="D71" i="15" s="1"/>
  <c r="D72" i="15" s="1"/>
  <c r="D73" i="15" s="1"/>
  <c r="D74" i="15" s="1"/>
  <c r="D75" i="15" s="1"/>
  <c r="D76" i="15" s="1"/>
  <c r="D77" i="15" s="1"/>
  <c r="D78" i="15" s="1"/>
  <c r="D79" i="15" s="1"/>
  <c r="D80" i="15" s="1"/>
  <c r="D81" i="15" s="1"/>
  <c r="D82" i="15" s="1"/>
  <c r="D83" i="15" s="1"/>
  <c r="D84" i="15" s="1"/>
  <c r="D85" i="15" s="1"/>
  <c r="D86" i="15" s="1"/>
  <c r="D87" i="15" s="1"/>
  <c r="D88" i="15" s="1"/>
  <c r="D89" i="15" s="1"/>
  <c r="D90" i="15" s="1"/>
  <c r="D91" i="15" s="1"/>
  <c r="D92" i="15" s="1"/>
  <c r="D93" i="15" s="1"/>
  <c r="D94" i="15" s="1"/>
  <c r="D95" i="15" s="1"/>
  <c r="D96" i="15" s="1"/>
  <c r="D97" i="15" s="1"/>
  <c r="D98" i="15" s="1"/>
  <c r="D99" i="15" s="1"/>
  <c r="D100" i="15" s="1"/>
  <c r="D101" i="15" s="1"/>
  <c r="D102" i="15" s="1"/>
  <c r="D103" i="15" s="1"/>
  <c r="D104" i="15" s="1"/>
  <c r="D105" i="15" s="1"/>
  <c r="D106" i="15" s="1"/>
  <c r="D107" i="15" s="1"/>
  <c r="D108" i="15" s="1"/>
  <c r="D109" i="15" s="1"/>
  <c r="D110" i="15" s="1"/>
  <c r="D111" i="15" s="1"/>
  <c r="D112" i="15" s="1"/>
  <c r="D113" i="15" s="1"/>
  <c r="D114" i="15" s="1"/>
  <c r="D115" i="15" s="1"/>
  <c r="D116" i="15" s="1"/>
  <c r="D117" i="15" s="1"/>
  <c r="D118" i="15" s="1"/>
  <c r="D119" i="15" s="1"/>
  <c r="D120" i="15" s="1"/>
  <c r="D121" i="15" s="1"/>
  <c r="D122" i="15" s="1"/>
  <c r="D123" i="15" s="1"/>
  <c r="D124" i="15" s="1"/>
  <c r="D125" i="15" s="1"/>
  <c r="D126" i="15" s="1"/>
  <c r="D127" i="15" s="1"/>
  <c r="D128" i="15" s="1"/>
  <c r="D129" i="15" s="1"/>
  <c r="D130" i="15" s="1"/>
  <c r="D131" i="15" s="1"/>
  <c r="E17" i="18"/>
  <c r="F17" i="18" s="1"/>
  <c r="E13" i="18"/>
  <c r="F13" i="18" s="1"/>
  <c r="E33" i="18"/>
  <c r="F33" i="18" s="1"/>
  <c r="E29" i="18"/>
  <c r="F29" i="18" s="1"/>
  <c r="K34" i="3"/>
  <c r="J13" i="18"/>
  <c r="J17" i="18"/>
  <c r="J33" i="18"/>
  <c r="I36" i="18"/>
  <c r="J36" i="18" s="1"/>
  <c r="I32" i="18"/>
  <c r="J32" i="18" s="1"/>
  <c r="I28" i="18"/>
  <c r="J28" i="18" s="1"/>
  <c r="I24" i="18"/>
  <c r="J24" i="18" s="1"/>
  <c r="I20" i="18"/>
  <c r="J20" i="18" s="1"/>
  <c r="I16" i="18"/>
  <c r="J16" i="18" s="1"/>
  <c r="I12" i="18"/>
  <c r="J12" i="18" s="1"/>
  <c r="I37" i="18"/>
  <c r="J37" i="18" s="1"/>
  <c r="I9" i="18"/>
  <c r="J9" i="18" s="1"/>
  <c r="I15" i="18"/>
  <c r="J15" i="18" s="1"/>
  <c r="I19" i="18"/>
  <c r="J19" i="18" s="1"/>
  <c r="I22" i="18"/>
  <c r="J22" i="18" s="1"/>
  <c r="I29" i="18"/>
  <c r="J29" i="18" s="1"/>
  <c r="I35" i="18"/>
  <c r="J35" i="18" s="1"/>
  <c r="I38" i="18"/>
  <c r="J38" i="18" s="1"/>
  <c r="I11" i="18"/>
  <c r="J11" i="18" s="1"/>
  <c r="I14" i="18"/>
  <c r="J14" i="18" s="1"/>
  <c r="I18" i="18"/>
  <c r="J18" i="18" s="1"/>
  <c r="I25" i="18"/>
  <c r="J25" i="18" s="1"/>
  <c r="I31" i="18"/>
  <c r="J31" i="18" s="1"/>
  <c r="I34" i="18"/>
  <c r="I10" i="18"/>
  <c r="J10" i="18" s="1"/>
  <c r="G14" i="18"/>
  <c r="G18" i="18"/>
  <c r="I21" i="18"/>
  <c r="J21" i="18" s="1"/>
  <c r="G23" i="18"/>
  <c r="J23" i="18" s="1"/>
  <c r="I27" i="18"/>
  <c r="J27" i="18" s="1"/>
  <c r="I30" i="18"/>
  <c r="J30" i="18" s="1"/>
  <c r="G34" i="18"/>
  <c r="H7" i="3"/>
  <c r="I24" i="2"/>
  <c r="I20" i="2"/>
  <c r="I7" i="2"/>
  <c r="J12" i="3"/>
  <c r="J17" i="3"/>
  <c r="K17" i="3" s="1"/>
  <c r="J20" i="3"/>
  <c r="K20" i="3" s="1"/>
  <c r="J27" i="3"/>
  <c r="K27" i="3" s="1"/>
  <c r="J8" i="3"/>
  <c r="K8" i="3" s="1"/>
  <c r="J11" i="3"/>
  <c r="K11" i="3"/>
  <c r="I11" i="2"/>
  <c r="J28" i="3"/>
  <c r="K28" i="3"/>
  <c r="K13" i="3"/>
  <c r="J13" i="3"/>
  <c r="J16" i="3"/>
  <c r="K16" i="3"/>
  <c r="I16" i="2"/>
  <c r="J21" i="3"/>
  <c r="J25" i="3"/>
  <c r="K25" i="3" s="1"/>
  <c r="J29" i="3"/>
  <c r="K29" i="3" s="1"/>
  <c r="J24" i="3"/>
  <c r="I6" i="2"/>
  <c r="I10" i="2"/>
  <c r="I15" i="2"/>
  <c r="I19" i="2"/>
  <c r="I23" i="2"/>
  <c r="H5" i="3"/>
  <c r="I32" i="2"/>
  <c r="I30" i="2"/>
  <c r="I28" i="2"/>
  <c r="I5" i="2"/>
  <c r="I9" i="2"/>
  <c r="I14" i="2"/>
  <c r="I18" i="2"/>
  <c r="I22" i="2"/>
  <c r="J26" i="3"/>
  <c r="I26" i="2"/>
  <c r="E4" i="2"/>
  <c r="F4" i="2" s="1"/>
  <c r="I4" i="2"/>
  <c r="I8" i="2"/>
  <c r="I12" i="2"/>
  <c r="I13" i="2"/>
  <c r="I17" i="2"/>
  <c r="I21" i="2"/>
  <c r="I25" i="2"/>
  <c r="I31" i="2"/>
  <c r="J6" i="3"/>
  <c r="J9" i="3"/>
  <c r="K9" i="3" s="1"/>
  <c r="J10" i="3"/>
  <c r="K15" i="3"/>
  <c r="K19" i="3"/>
  <c r="J33" i="3"/>
  <c r="K33" i="3" s="1"/>
  <c r="H15" i="10"/>
  <c r="I18" i="10"/>
  <c r="H31" i="10"/>
  <c r="I27" i="2"/>
  <c r="K6" i="3"/>
  <c r="K10" i="3"/>
  <c r="K24" i="3"/>
  <c r="J4" i="10"/>
  <c r="H6" i="10"/>
  <c r="H11" i="10"/>
  <c r="I14" i="10"/>
  <c r="J20" i="10"/>
  <c r="H22" i="10"/>
  <c r="H27" i="10"/>
  <c r="I30" i="10"/>
  <c r="K30" i="3"/>
  <c r="H7" i="10"/>
  <c r="H9" i="10"/>
  <c r="I10" i="10"/>
  <c r="J16" i="10"/>
  <c r="H23" i="10"/>
  <c r="H25" i="10"/>
  <c r="I26" i="10"/>
  <c r="J32" i="10"/>
  <c r="I29" i="2"/>
  <c r="I33" i="2"/>
  <c r="J14" i="3"/>
  <c r="K14" i="3" s="1"/>
  <c r="J18" i="3"/>
  <c r="K18" i="3" s="1"/>
  <c r="J22" i="3"/>
  <c r="K22" i="3" s="1"/>
  <c r="J23" i="3"/>
  <c r="K23" i="3" s="1"/>
  <c r="J5" i="10"/>
  <c r="J9" i="10"/>
  <c r="J13" i="10"/>
  <c r="J17" i="10"/>
  <c r="J21" i="10"/>
  <c r="J29" i="10"/>
  <c r="J33" i="10"/>
  <c r="J6" i="10"/>
  <c r="J10" i="10"/>
  <c r="J14" i="10"/>
  <c r="J18" i="10"/>
  <c r="J26" i="10"/>
  <c r="J30" i="10"/>
  <c r="J32" i="3"/>
  <c r="K32" i="3" s="1"/>
  <c r="E14" i="6"/>
  <c r="F14" i="6" s="1"/>
  <c r="E18" i="6"/>
  <c r="F18" i="6" s="1"/>
  <c r="E22" i="6"/>
  <c r="F22" i="6" s="1"/>
  <c r="E26" i="6"/>
  <c r="F26" i="6" s="1"/>
  <c r="E30" i="6"/>
  <c r="F30" i="6" s="1"/>
  <c r="J7" i="10"/>
  <c r="J11" i="10"/>
  <c r="J15" i="10"/>
  <c r="J19" i="10"/>
  <c r="J23" i="10"/>
  <c r="J27" i="10"/>
  <c r="G13" i="15"/>
  <c r="J12" i="15"/>
  <c r="F13" i="15"/>
  <c r="F13" i="16"/>
  <c r="G14" i="16"/>
  <c r="G13" i="16"/>
  <c r="G12" i="16"/>
  <c r="G15" i="16"/>
  <c r="E23" i="18" l="1"/>
  <c r="F23" i="18" s="1"/>
  <c r="E22" i="18"/>
  <c r="F22" i="18" s="1"/>
  <c r="E20" i="18"/>
  <c r="F20" i="18" s="1"/>
  <c r="E26" i="18"/>
  <c r="F26" i="18" s="1"/>
  <c r="E25" i="18"/>
  <c r="F25" i="18" s="1"/>
  <c r="E24" i="18"/>
  <c r="F24" i="18" s="1"/>
  <c r="E19" i="18"/>
  <c r="F19" i="18" s="1"/>
  <c r="E21" i="18"/>
  <c r="F21" i="18" s="1"/>
  <c r="E14" i="18"/>
  <c r="F14" i="18" s="1"/>
  <c r="E12" i="18"/>
  <c r="F12" i="18" s="1"/>
  <c r="E18" i="18"/>
  <c r="F18" i="18" s="1"/>
  <c r="E15" i="18"/>
  <c r="F15" i="18" s="1"/>
  <c r="E16" i="18"/>
  <c r="F16" i="18" s="1"/>
  <c r="E11" i="18"/>
  <c r="F11" i="18" s="1"/>
  <c r="E10" i="18"/>
  <c r="F10" i="18" s="1"/>
  <c r="E9" i="18"/>
  <c r="F9" i="18" s="1"/>
  <c r="K10" i="18" s="1"/>
  <c r="O10" i="18" s="1"/>
  <c r="E38" i="18"/>
  <c r="F38" i="18" s="1"/>
  <c r="E35" i="18"/>
  <c r="F35" i="18" s="1"/>
  <c r="E34" i="18"/>
  <c r="F34" i="18" s="1"/>
  <c r="E32" i="18"/>
  <c r="F32" i="18" s="1"/>
  <c r="E31" i="18"/>
  <c r="F31" i="18" s="1"/>
  <c r="E37" i="18"/>
  <c r="F37" i="18" s="1"/>
  <c r="E28" i="18"/>
  <c r="F28" i="18" s="1"/>
  <c r="J34" i="18"/>
  <c r="C7" i="4"/>
  <c r="F9" i="3"/>
  <c r="M9" i="3" s="1"/>
  <c r="M12" i="15"/>
  <c r="C16" i="4"/>
  <c r="F18" i="3"/>
  <c r="M18" i="3" s="1"/>
  <c r="F5" i="3"/>
  <c r="M5" i="3" s="1"/>
  <c r="C3" i="4"/>
  <c r="C8" i="4"/>
  <c r="F10" i="3"/>
  <c r="M10" i="3" s="1"/>
  <c r="K13" i="15"/>
  <c r="L13" i="15" s="1"/>
  <c r="G14" i="15"/>
  <c r="J22" i="10"/>
  <c r="J25" i="10"/>
  <c r="C32" i="4"/>
  <c r="F34" i="3"/>
  <c r="M34" i="3" s="1"/>
  <c r="C26" i="4"/>
  <c r="F28" i="3"/>
  <c r="M28" i="3" s="1"/>
  <c r="C30" i="4"/>
  <c r="F32" i="3"/>
  <c r="M32" i="3" s="1"/>
  <c r="F14" i="3"/>
  <c r="M14" i="3" s="1"/>
  <c r="C12" i="4"/>
  <c r="G4" i="2"/>
  <c r="H4" i="2" s="1"/>
  <c r="C5" i="2"/>
  <c r="E5" i="2" s="1"/>
  <c r="F5" i="2" s="1"/>
  <c r="K26" i="3"/>
  <c r="F33" i="3"/>
  <c r="M33" i="3" s="1"/>
  <c r="C31" i="4"/>
  <c r="C18" i="4"/>
  <c r="F20" i="3"/>
  <c r="M20" i="3" s="1"/>
  <c r="K21" i="3"/>
  <c r="K12" i="3"/>
  <c r="F25" i="3"/>
  <c r="M25" i="3" s="1"/>
  <c r="C23" i="4"/>
  <c r="L15" i="16"/>
  <c r="M15" i="16" s="1"/>
  <c r="H15" i="16"/>
  <c r="I15" i="16" s="1"/>
  <c r="J15" i="16" s="1"/>
  <c r="N15" i="16" s="1"/>
  <c r="H14" i="16"/>
  <c r="I14" i="16" s="1"/>
  <c r="J14" i="16" s="1"/>
  <c r="L14" i="16"/>
  <c r="M14" i="16" s="1"/>
  <c r="E35" i="6"/>
  <c r="C20" i="4"/>
  <c r="F22" i="3"/>
  <c r="M22" i="3" s="1"/>
  <c r="C27" i="4"/>
  <c r="F29" i="3"/>
  <c r="M29" i="3" s="1"/>
  <c r="C22" i="4"/>
  <c r="F24" i="3"/>
  <c r="M24" i="3" s="1"/>
  <c r="C9" i="4"/>
  <c r="F11" i="3"/>
  <c r="M11" i="3" s="1"/>
  <c r="C6" i="4"/>
  <c r="F8" i="3"/>
  <c r="M8" i="3" s="1"/>
  <c r="G16" i="16"/>
  <c r="F14" i="16"/>
  <c r="O13" i="16"/>
  <c r="F35" i="6"/>
  <c r="F37" i="6" s="1"/>
  <c r="C2" i="9" s="1"/>
  <c r="F19" i="3"/>
  <c r="M19" i="3" s="1"/>
  <c r="C17" i="4"/>
  <c r="C29" i="4"/>
  <c r="F31" i="3"/>
  <c r="M31" i="3" s="1"/>
  <c r="C5" i="4"/>
  <c r="F7" i="3"/>
  <c r="M7" i="3" s="1"/>
  <c r="C10" i="4"/>
  <c r="F12" i="3"/>
  <c r="M12" i="3" s="1"/>
  <c r="F21" i="3"/>
  <c r="M21" i="3" s="1"/>
  <c r="C19" i="4"/>
  <c r="H13" i="16"/>
  <c r="I13" i="16" s="1"/>
  <c r="J13" i="16" s="1"/>
  <c r="L13" i="16"/>
  <c r="M13" i="16" s="1"/>
  <c r="H12" i="16"/>
  <c r="I12" i="16" s="1"/>
  <c r="J12" i="16" s="1"/>
  <c r="L12" i="16"/>
  <c r="F14" i="15"/>
  <c r="J13" i="15"/>
  <c r="J31" i="10"/>
  <c r="F30" i="3"/>
  <c r="M30" i="3" s="1"/>
  <c r="C28" i="4"/>
  <c r="F26" i="3"/>
  <c r="M26" i="3" s="1"/>
  <c r="C24" i="4"/>
  <c r="C11" i="4"/>
  <c r="F13" i="3"/>
  <c r="M13" i="3" s="1"/>
  <c r="C25" i="4"/>
  <c r="F27" i="3"/>
  <c r="M27" i="3" s="1"/>
  <c r="C21" i="4"/>
  <c r="F23" i="3"/>
  <c r="M23" i="3" s="1"/>
  <c r="C13" i="4"/>
  <c r="F15" i="3"/>
  <c r="M15" i="3" s="1"/>
  <c r="C4" i="4"/>
  <c r="F6" i="3"/>
  <c r="M6" i="3" s="1"/>
  <c r="J5" i="3"/>
  <c r="K5" i="3" s="1"/>
  <c r="C14" i="4"/>
  <c r="F16" i="3"/>
  <c r="M16" i="3" s="1"/>
  <c r="F17" i="3"/>
  <c r="M17" i="3" s="1"/>
  <c r="C15" i="4"/>
  <c r="J7" i="3"/>
  <c r="K7" i="3" s="1"/>
  <c r="K11" i="18" l="1"/>
  <c r="N11" i="18" s="1"/>
  <c r="E27" i="18"/>
  <c r="F27" i="18" s="1"/>
  <c r="N10" i="18"/>
  <c r="E30" i="18"/>
  <c r="F30" i="18" s="1"/>
  <c r="E36" i="18"/>
  <c r="F36" i="18" s="1"/>
  <c r="F15" i="15"/>
  <c r="J14" i="15"/>
  <c r="N13" i="16"/>
  <c r="P13" i="16" s="1"/>
  <c r="O14" i="16"/>
  <c r="P14" i="16" s="1"/>
  <c r="F15" i="16"/>
  <c r="C1" i="9"/>
  <c r="D2" i="7"/>
  <c r="H16" i="16"/>
  <c r="I16" i="16" s="1"/>
  <c r="J16" i="16" s="1"/>
  <c r="L16" i="16"/>
  <c r="M16" i="16" s="1"/>
  <c r="G17" i="16"/>
  <c r="C6" i="2"/>
  <c r="E6" i="2" s="1"/>
  <c r="F6" i="2" s="1"/>
  <c r="G5" i="2"/>
  <c r="H5" i="2" s="1"/>
  <c r="G15" i="15"/>
  <c r="H14" i="15"/>
  <c r="I14" i="15" s="1"/>
  <c r="N12" i="16"/>
  <c r="P12" i="16" s="1"/>
  <c r="N14" i="16"/>
  <c r="E5" i="3"/>
  <c r="L5" i="3" s="1"/>
  <c r="O5" i="3" s="1"/>
  <c r="F3" i="4" s="1"/>
  <c r="B3" i="4"/>
  <c r="M13" i="15"/>
  <c r="K12" i="18" l="1"/>
  <c r="K13" i="18" s="1"/>
  <c r="O11" i="18"/>
  <c r="O12" i="18"/>
  <c r="M14" i="15"/>
  <c r="B4" i="4"/>
  <c r="E6" i="3"/>
  <c r="L6" i="3" s="1"/>
  <c r="O6" i="3" s="1"/>
  <c r="F4" i="4" s="1"/>
  <c r="N16" i="16"/>
  <c r="F16" i="15"/>
  <c r="J15" i="15"/>
  <c r="H15" i="15"/>
  <c r="I15" i="15" s="1"/>
  <c r="M15" i="15" s="1"/>
  <c r="G16" i="15"/>
  <c r="H16" i="15" s="1"/>
  <c r="G6" i="2"/>
  <c r="H6" i="2" s="1"/>
  <c r="C7" i="2"/>
  <c r="E7" i="2" s="1"/>
  <c r="F7" i="2" s="1"/>
  <c r="H17" i="16"/>
  <c r="I17" i="16" s="1"/>
  <c r="J17" i="16" s="1"/>
  <c r="L17" i="16"/>
  <c r="M17" i="16" s="1"/>
  <c r="G18" i="16"/>
  <c r="O15" i="16"/>
  <c r="P15" i="16" s="1"/>
  <c r="F16" i="16"/>
  <c r="N12" i="18" l="1"/>
  <c r="K14" i="18"/>
  <c r="O13" i="18"/>
  <c r="N13" i="18"/>
  <c r="G17" i="15"/>
  <c r="I16" i="15"/>
  <c r="M16" i="15" s="1"/>
  <c r="H18" i="16"/>
  <c r="I18" i="16" s="1"/>
  <c r="J18" i="16" s="1"/>
  <c r="N18" i="16" s="1"/>
  <c r="L18" i="16"/>
  <c r="M18" i="16" s="1"/>
  <c r="G19" i="16"/>
  <c r="G7" i="2"/>
  <c r="H7" i="2" s="1"/>
  <c r="C8" i="2"/>
  <c r="E8" i="2" s="1"/>
  <c r="F8" i="2" s="1"/>
  <c r="O16" i="16"/>
  <c r="P16" i="16" s="1"/>
  <c r="F17" i="16"/>
  <c r="N17" i="16"/>
  <c r="B5" i="4"/>
  <c r="E7" i="3"/>
  <c r="L7" i="3" s="1"/>
  <c r="O7" i="3" s="1"/>
  <c r="F5" i="4" s="1"/>
  <c r="F17" i="15"/>
  <c r="J16" i="15"/>
  <c r="O14" i="18" l="1"/>
  <c r="K15" i="18"/>
  <c r="N14" i="18"/>
  <c r="B6" i="4"/>
  <c r="E8" i="3"/>
  <c r="L8" i="3" s="1"/>
  <c r="O8" i="3" s="1"/>
  <c r="F6" i="4" s="1"/>
  <c r="H17" i="15"/>
  <c r="I17" i="15" s="1"/>
  <c r="G18" i="15"/>
  <c r="G8" i="2"/>
  <c r="H8" i="2" s="1"/>
  <c r="C9" i="2"/>
  <c r="E9" i="2" s="1"/>
  <c r="F9" i="2" s="1"/>
  <c r="L19" i="16"/>
  <c r="M19" i="16" s="1"/>
  <c r="H19" i="16"/>
  <c r="I19" i="16" s="1"/>
  <c r="J19" i="16" s="1"/>
  <c r="N19" i="16" s="1"/>
  <c r="G20" i="16"/>
  <c r="F18" i="15"/>
  <c r="J17" i="15"/>
  <c r="F18" i="16"/>
  <c r="O17" i="16"/>
  <c r="P17" i="16" s="1"/>
  <c r="K16" i="18" l="1"/>
  <c r="O15" i="18"/>
  <c r="N15" i="18"/>
  <c r="O18" i="16"/>
  <c r="P18" i="16" s="1"/>
  <c r="F19" i="16"/>
  <c r="G19" i="15"/>
  <c r="H18" i="15"/>
  <c r="I18" i="15" s="1"/>
  <c r="M17" i="15"/>
  <c r="F19" i="15"/>
  <c r="J18" i="15"/>
  <c r="C10" i="2"/>
  <c r="E10" i="2" s="1"/>
  <c r="F10" i="2" s="1"/>
  <c r="G9" i="2"/>
  <c r="H9" i="2" s="1"/>
  <c r="H20" i="16"/>
  <c r="I20" i="16" s="1"/>
  <c r="J20" i="16" s="1"/>
  <c r="L20" i="16"/>
  <c r="M20" i="16" s="1"/>
  <c r="G21" i="16"/>
  <c r="B7" i="4"/>
  <c r="E9" i="3"/>
  <c r="L9" i="3" s="1"/>
  <c r="O9" i="3" s="1"/>
  <c r="F7" i="4" s="1"/>
  <c r="M18" i="15" l="1"/>
  <c r="K17" i="18"/>
  <c r="O16" i="18"/>
  <c r="N16" i="18"/>
  <c r="H19" i="15"/>
  <c r="I19" i="15" s="1"/>
  <c r="G20" i="15"/>
  <c r="B8" i="4"/>
  <c r="E10" i="3"/>
  <c r="L10" i="3" s="1"/>
  <c r="O10" i="3" s="1"/>
  <c r="F8" i="4" s="1"/>
  <c r="H21" i="16"/>
  <c r="I21" i="16" s="1"/>
  <c r="J21" i="16" s="1"/>
  <c r="L21" i="16"/>
  <c r="M21" i="16" s="1"/>
  <c r="G22" i="16"/>
  <c r="G10" i="2"/>
  <c r="H10" i="2" s="1"/>
  <c r="C11" i="2"/>
  <c r="E11" i="2" s="1"/>
  <c r="F11" i="2" s="1"/>
  <c r="N20" i="16"/>
  <c r="F20" i="15"/>
  <c r="J19" i="15"/>
  <c r="O19" i="16"/>
  <c r="P19" i="16" s="1"/>
  <c r="F20" i="16"/>
  <c r="K18" i="18" l="1"/>
  <c r="O17" i="18"/>
  <c r="N17" i="18"/>
  <c r="F21" i="15"/>
  <c r="J20" i="15"/>
  <c r="O20" i="16"/>
  <c r="P20" i="16" s="1"/>
  <c r="F21" i="16"/>
  <c r="G21" i="15"/>
  <c r="H20" i="15"/>
  <c r="I20" i="15" s="1"/>
  <c r="M20" i="15" s="1"/>
  <c r="B9" i="4"/>
  <c r="E11" i="3"/>
  <c r="L11" i="3" s="1"/>
  <c r="O11" i="3" s="1"/>
  <c r="F9" i="4" s="1"/>
  <c r="H22" i="16"/>
  <c r="I22" i="16" s="1"/>
  <c r="J22" i="16" s="1"/>
  <c r="L22" i="16"/>
  <c r="M22" i="16" s="1"/>
  <c r="G23" i="16"/>
  <c r="G11" i="2"/>
  <c r="H11" i="2" s="1"/>
  <c r="C12" i="2"/>
  <c r="E12" i="2" s="1"/>
  <c r="F12" i="2" s="1"/>
  <c r="N21" i="16"/>
  <c r="M19" i="15"/>
  <c r="O18" i="18" l="1"/>
  <c r="K19" i="18"/>
  <c r="N18" i="18"/>
  <c r="C13" i="2"/>
  <c r="E13" i="2" s="1"/>
  <c r="F13" i="2" s="1"/>
  <c r="G12" i="2"/>
  <c r="H12" i="2" s="1"/>
  <c r="N22" i="16"/>
  <c r="H21" i="15"/>
  <c r="I21" i="15" s="1"/>
  <c r="M21" i="15" s="1"/>
  <c r="G22" i="15"/>
  <c r="F22" i="15"/>
  <c r="J21" i="15"/>
  <c r="E12" i="3"/>
  <c r="L12" i="3" s="1"/>
  <c r="O12" i="3" s="1"/>
  <c r="F10" i="4" s="1"/>
  <c r="B10" i="4"/>
  <c r="F22" i="16"/>
  <c r="O21" i="16"/>
  <c r="P21" i="16" s="1"/>
  <c r="L23" i="16"/>
  <c r="M23" i="16" s="1"/>
  <c r="H23" i="16"/>
  <c r="I23" i="16" s="1"/>
  <c r="J23" i="16" s="1"/>
  <c r="G24" i="16"/>
  <c r="K20" i="18" l="1"/>
  <c r="O19" i="18"/>
  <c r="N19" i="18"/>
  <c r="H24" i="16"/>
  <c r="I24" i="16" s="1"/>
  <c r="J24" i="16" s="1"/>
  <c r="L24" i="16"/>
  <c r="M24" i="16" s="1"/>
  <c r="G25" i="16"/>
  <c r="O22" i="16"/>
  <c r="P22" i="16" s="1"/>
  <c r="F23" i="16"/>
  <c r="F23" i="15"/>
  <c r="J22" i="15"/>
  <c r="B11" i="4"/>
  <c r="E13" i="3"/>
  <c r="L13" i="3" s="1"/>
  <c r="O13" i="3" s="1"/>
  <c r="F11" i="4" s="1"/>
  <c r="N23" i="16"/>
  <c r="G23" i="15"/>
  <c r="H22" i="15"/>
  <c r="I22" i="15" s="1"/>
  <c r="M22" i="15" s="1"/>
  <c r="G13" i="2"/>
  <c r="H13" i="2" s="1"/>
  <c r="C14" i="2"/>
  <c r="E14" i="2" s="1"/>
  <c r="F14" i="2" s="1"/>
  <c r="K21" i="18" l="1"/>
  <c r="O20" i="18"/>
  <c r="N20" i="18"/>
  <c r="H23" i="15"/>
  <c r="I23" i="15" s="1"/>
  <c r="G24" i="15"/>
  <c r="F24" i="15"/>
  <c r="J23" i="15"/>
  <c r="B12" i="4"/>
  <c r="E14" i="3"/>
  <c r="L14" i="3" s="1"/>
  <c r="O14" i="3" s="1"/>
  <c r="F12" i="4" s="1"/>
  <c r="H25" i="16"/>
  <c r="I25" i="16" s="1"/>
  <c r="J25" i="16" s="1"/>
  <c r="L25" i="16"/>
  <c r="M25" i="16" s="1"/>
  <c r="G26" i="16"/>
  <c r="C15" i="2"/>
  <c r="E15" i="2" s="1"/>
  <c r="F15" i="2" s="1"/>
  <c r="G14" i="2"/>
  <c r="H14" i="2" s="1"/>
  <c r="O23" i="16"/>
  <c r="P23" i="16" s="1"/>
  <c r="F24" i="16"/>
  <c r="N24" i="16"/>
  <c r="K22" i="18" l="1"/>
  <c r="O21" i="18"/>
  <c r="N21" i="18"/>
  <c r="O24" i="16"/>
  <c r="P24" i="16" s="1"/>
  <c r="F25" i="16"/>
  <c r="N25" i="16"/>
  <c r="F25" i="15"/>
  <c r="J24" i="15"/>
  <c r="G25" i="15"/>
  <c r="H24" i="15"/>
  <c r="I24" i="15" s="1"/>
  <c r="M24" i="15" s="1"/>
  <c r="B13" i="4"/>
  <c r="E15" i="3"/>
  <c r="L15" i="3" s="1"/>
  <c r="O15" i="3" s="1"/>
  <c r="F13" i="4" s="1"/>
  <c r="G15" i="2"/>
  <c r="H15" i="2" s="1"/>
  <c r="C16" i="2"/>
  <c r="E16" i="2" s="1"/>
  <c r="F16" i="2" s="1"/>
  <c r="H26" i="16"/>
  <c r="I26" i="16" s="1"/>
  <c r="J26" i="16" s="1"/>
  <c r="L26" i="16"/>
  <c r="M26" i="16" s="1"/>
  <c r="G27" i="16"/>
  <c r="M23" i="15"/>
  <c r="O22" i="18" l="1"/>
  <c r="K23" i="18"/>
  <c r="N22" i="18"/>
  <c r="F26" i="15"/>
  <c r="J25" i="15"/>
  <c r="N26" i="16"/>
  <c r="G16" i="2"/>
  <c r="H16" i="2" s="1"/>
  <c r="C17" i="2"/>
  <c r="E17" i="2" s="1"/>
  <c r="F17" i="2" s="1"/>
  <c r="H25" i="15"/>
  <c r="I25" i="15" s="1"/>
  <c r="M25" i="15" s="1"/>
  <c r="G26" i="15"/>
  <c r="F26" i="16"/>
  <c r="O25" i="16"/>
  <c r="P25" i="16" s="1"/>
  <c r="L27" i="16"/>
  <c r="M27" i="16" s="1"/>
  <c r="H27" i="16"/>
  <c r="I27" i="16" s="1"/>
  <c r="J27" i="16" s="1"/>
  <c r="N27" i="16" s="1"/>
  <c r="G28" i="16"/>
  <c r="E16" i="3"/>
  <c r="L16" i="3" s="1"/>
  <c r="O16" i="3" s="1"/>
  <c r="F14" i="4" s="1"/>
  <c r="B14" i="4"/>
  <c r="K24" i="18" l="1"/>
  <c r="O23" i="18"/>
  <c r="N23" i="18"/>
  <c r="B15" i="4"/>
  <c r="E17" i="3"/>
  <c r="L17" i="3" s="1"/>
  <c r="O17" i="3" s="1"/>
  <c r="F15" i="4" s="1"/>
  <c r="G27" i="15"/>
  <c r="H26" i="15"/>
  <c r="I26" i="15" s="1"/>
  <c r="H28" i="16"/>
  <c r="I28" i="16" s="1"/>
  <c r="J28" i="16" s="1"/>
  <c r="N28" i="16" s="1"/>
  <c r="L28" i="16"/>
  <c r="M28" i="16" s="1"/>
  <c r="G29" i="16"/>
  <c r="O26" i="16"/>
  <c r="P26" i="16" s="1"/>
  <c r="F27" i="16"/>
  <c r="G17" i="2"/>
  <c r="H17" i="2" s="1"/>
  <c r="C18" i="2"/>
  <c r="E18" i="2" s="1"/>
  <c r="F18" i="2" s="1"/>
  <c r="F27" i="15"/>
  <c r="J26" i="15"/>
  <c r="K25" i="18" l="1"/>
  <c r="O24" i="18"/>
  <c r="N24" i="18"/>
  <c r="J27" i="15"/>
  <c r="F28" i="15"/>
  <c r="C19" i="2"/>
  <c r="E19" i="2" s="1"/>
  <c r="F19" i="2" s="1"/>
  <c r="G18" i="2"/>
  <c r="H18" i="2" s="1"/>
  <c r="H27" i="15"/>
  <c r="I27" i="15" s="1"/>
  <c r="G28" i="15"/>
  <c r="O27" i="16"/>
  <c r="P27" i="16" s="1"/>
  <c r="F28" i="16"/>
  <c r="M26" i="15"/>
  <c r="H29" i="16"/>
  <c r="I29" i="16" s="1"/>
  <c r="J29" i="16" s="1"/>
  <c r="L29" i="16"/>
  <c r="M29" i="16" s="1"/>
  <c r="G30" i="16"/>
  <c r="B16" i="4"/>
  <c r="E18" i="3"/>
  <c r="L18" i="3" s="1"/>
  <c r="O18" i="3" s="1"/>
  <c r="F16" i="4" s="1"/>
  <c r="M27" i="15" l="1"/>
  <c r="K26" i="18"/>
  <c r="O25" i="18"/>
  <c r="N25" i="18"/>
  <c r="H30" i="16"/>
  <c r="I30" i="16" s="1"/>
  <c r="J30" i="16" s="1"/>
  <c r="N30" i="16" s="1"/>
  <c r="L30" i="16"/>
  <c r="M30" i="16" s="1"/>
  <c r="G31" i="16"/>
  <c r="O28" i="16"/>
  <c r="P28" i="16" s="1"/>
  <c r="F29" i="16"/>
  <c r="B17" i="4"/>
  <c r="E19" i="3"/>
  <c r="L19" i="3" s="1"/>
  <c r="O19" i="3" s="1"/>
  <c r="F17" i="4" s="1"/>
  <c r="G19" i="2"/>
  <c r="H19" i="2" s="1"/>
  <c r="C20" i="2"/>
  <c r="E20" i="2" s="1"/>
  <c r="F20" i="2" s="1"/>
  <c r="F29" i="15"/>
  <c r="J28" i="15"/>
  <c r="N29" i="16"/>
  <c r="H28" i="15"/>
  <c r="I28" i="15" s="1"/>
  <c r="G29" i="15"/>
  <c r="M28" i="15" l="1"/>
  <c r="O26" i="18"/>
  <c r="K27" i="18"/>
  <c r="N26" i="18"/>
  <c r="G20" i="2"/>
  <c r="H20" i="2" s="1"/>
  <c r="C21" i="2"/>
  <c r="E21" i="2" s="1"/>
  <c r="F21" i="2" s="1"/>
  <c r="F30" i="16"/>
  <c r="O29" i="16"/>
  <c r="P29" i="16" s="1"/>
  <c r="E20" i="3"/>
  <c r="L20" i="3" s="1"/>
  <c r="O20" i="3" s="1"/>
  <c r="F18" i="4" s="1"/>
  <c r="B18" i="4"/>
  <c r="L31" i="16"/>
  <c r="H31" i="16"/>
  <c r="I31" i="16" s="1"/>
  <c r="J31" i="16" s="1"/>
  <c r="N31" i="16" s="1"/>
  <c r="H29" i="15"/>
  <c r="I29" i="15" s="1"/>
  <c r="G30" i="15"/>
  <c r="J29" i="15"/>
  <c r="F30" i="15"/>
  <c r="M29" i="15" l="1"/>
  <c r="K28" i="18"/>
  <c r="O27" i="18"/>
  <c r="N27" i="18"/>
  <c r="F31" i="15"/>
  <c r="J31" i="15" s="1"/>
  <c r="J30" i="15"/>
  <c r="O30" i="16"/>
  <c r="P30" i="16" s="1"/>
  <c r="F31" i="16"/>
  <c r="O31" i="16" s="1"/>
  <c r="P31" i="16" s="1"/>
  <c r="G1" i="16" s="1"/>
  <c r="G21" i="2"/>
  <c r="H21" i="2" s="1"/>
  <c r="C22" i="2"/>
  <c r="E22" i="2" s="1"/>
  <c r="F22" i="2" s="1"/>
  <c r="H30" i="15"/>
  <c r="I30" i="15" s="1"/>
  <c r="G31" i="15"/>
  <c r="H31" i="15" s="1"/>
  <c r="I31" i="15" s="1"/>
  <c r="E21" i="3"/>
  <c r="L21" i="3" s="1"/>
  <c r="O21" i="3" s="1"/>
  <c r="F19" i="4" s="1"/>
  <c r="B19" i="4"/>
  <c r="M30" i="15" l="1"/>
  <c r="K29" i="18"/>
  <c r="O28" i="18"/>
  <c r="N28" i="18"/>
  <c r="O31" i="15"/>
  <c r="M31" i="15"/>
  <c r="C23" i="2"/>
  <c r="E23" i="2" s="1"/>
  <c r="F23" i="2" s="1"/>
  <c r="G22" i="2"/>
  <c r="H22" i="2" s="1"/>
  <c r="B20" i="4"/>
  <c r="E22" i="3"/>
  <c r="L22" i="3" s="1"/>
  <c r="O22" i="3" s="1"/>
  <c r="F20" i="4" s="1"/>
  <c r="K30" i="18" l="1"/>
  <c r="O29" i="18"/>
  <c r="N29" i="18"/>
  <c r="B21" i="4"/>
  <c r="E23" i="3"/>
  <c r="L23" i="3" s="1"/>
  <c r="O23" i="3" s="1"/>
  <c r="F21" i="4" s="1"/>
  <c r="G23" i="2"/>
  <c r="H23" i="2" s="1"/>
  <c r="C24" i="2"/>
  <c r="E24" i="2" s="1"/>
  <c r="F24" i="2" s="1"/>
  <c r="O5" i="15"/>
  <c r="O7" i="15" l="1"/>
  <c r="C1" i="17" s="1"/>
  <c r="O30" i="18"/>
  <c r="K31" i="18"/>
  <c r="N30" i="18"/>
  <c r="G24" i="2"/>
  <c r="H24" i="2" s="1"/>
  <c r="C25" i="2"/>
  <c r="E25" i="2" s="1"/>
  <c r="F25" i="2" s="1"/>
  <c r="B22" i="4"/>
  <c r="E24" i="3"/>
  <c r="L24" i="3" s="1"/>
  <c r="O24" i="3" s="1"/>
  <c r="F22" i="4" s="1"/>
  <c r="K32" i="18" l="1"/>
  <c r="O31" i="18"/>
  <c r="N31" i="18"/>
  <c r="G25" i="2"/>
  <c r="H25" i="2" s="1"/>
  <c r="C26" i="2"/>
  <c r="E26" i="2" s="1"/>
  <c r="F26" i="2" s="1"/>
  <c r="E25" i="3"/>
  <c r="L25" i="3" s="1"/>
  <c r="O25" i="3" s="1"/>
  <c r="F23" i="4" s="1"/>
  <c r="B23" i="4"/>
  <c r="O32" i="18" l="1"/>
  <c r="K33" i="18"/>
  <c r="N32" i="18"/>
  <c r="B24" i="4"/>
  <c r="E26" i="3"/>
  <c r="L26" i="3" s="1"/>
  <c r="O26" i="3" s="1"/>
  <c r="F24" i="4" s="1"/>
  <c r="C27" i="2"/>
  <c r="E27" i="2" s="1"/>
  <c r="F27" i="2" s="1"/>
  <c r="G26" i="2"/>
  <c r="H26" i="2" s="1"/>
  <c r="K34" i="18" l="1"/>
  <c r="O33" i="18"/>
  <c r="N33" i="18"/>
  <c r="B25" i="4"/>
  <c r="E27" i="3"/>
  <c r="L27" i="3" s="1"/>
  <c r="O27" i="3" s="1"/>
  <c r="F25" i="4" s="1"/>
  <c r="C28" i="2"/>
  <c r="E28" i="2" s="1"/>
  <c r="F28" i="2" s="1"/>
  <c r="G27" i="2"/>
  <c r="H27" i="2" s="1"/>
  <c r="O34" i="18" l="1"/>
  <c r="K35" i="18"/>
  <c r="N34" i="18"/>
  <c r="E28" i="3"/>
  <c r="L28" i="3" s="1"/>
  <c r="O28" i="3" s="1"/>
  <c r="F26" i="4" s="1"/>
  <c r="B26" i="4"/>
  <c r="C29" i="2"/>
  <c r="E29" i="2" s="1"/>
  <c r="F29" i="2" s="1"/>
  <c r="G28" i="2"/>
  <c r="H28" i="2" s="1"/>
  <c r="O35" i="18" l="1"/>
  <c r="K36" i="18"/>
  <c r="N35" i="18"/>
  <c r="B27" i="4"/>
  <c r="E29" i="3"/>
  <c r="L29" i="3" s="1"/>
  <c r="O29" i="3" s="1"/>
  <c r="F27" i="4" s="1"/>
  <c r="G29" i="2"/>
  <c r="H29" i="2" s="1"/>
  <c r="C30" i="2"/>
  <c r="E30" i="2" s="1"/>
  <c r="F30" i="2" s="1"/>
  <c r="O36" i="18" l="1"/>
  <c r="K37" i="18"/>
  <c r="N36" i="18"/>
  <c r="G30" i="2"/>
  <c r="H30" i="2" s="1"/>
  <c r="C31" i="2"/>
  <c r="E31" i="2" s="1"/>
  <c r="F31" i="2" s="1"/>
  <c r="E30" i="3"/>
  <c r="L30" i="3" s="1"/>
  <c r="O30" i="3" s="1"/>
  <c r="F28" i="4" s="1"/>
  <c r="B28" i="4"/>
  <c r="K38" i="18" l="1"/>
  <c r="O37" i="18"/>
  <c r="N37" i="18"/>
  <c r="G31" i="2"/>
  <c r="H31" i="2" s="1"/>
  <c r="C32" i="2"/>
  <c r="E32" i="2" s="1"/>
  <c r="F32" i="2" s="1"/>
  <c r="B29" i="4"/>
  <c r="E31" i="3"/>
  <c r="L31" i="3" s="1"/>
  <c r="O31" i="3" s="1"/>
  <c r="F29" i="4" s="1"/>
  <c r="O38" i="18" l="1"/>
  <c r="N38" i="18"/>
  <c r="P1" i="18" s="1"/>
  <c r="G32" i="2"/>
  <c r="H32" i="2" s="1"/>
  <c r="C33" i="2"/>
  <c r="E33" i="2" s="1"/>
  <c r="F33" i="2" s="1"/>
  <c r="G33" i="2" s="1"/>
  <c r="E32" i="3"/>
  <c r="L32" i="3" s="1"/>
  <c r="O32" i="3" s="1"/>
  <c r="F30" i="4" s="1"/>
  <c r="B30" i="4"/>
  <c r="P3" i="18" l="1"/>
  <c r="C3" i="13"/>
  <c r="J33" i="2"/>
  <c r="D32" i="4" s="1"/>
  <c r="H33" i="2"/>
  <c r="B31" i="4"/>
  <c r="E33" i="3"/>
  <c r="L33" i="3" s="1"/>
  <c r="O33" i="3" s="1"/>
  <c r="F31" i="4" s="1"/>
  <c r="E34" i="3" l="1"/>
  <c r="B32" i="4"/>
  <c r="N34" i="3" l="1"/>
  <c r="L34" i="3"/>
  <c r="O34" i="3" s="1"/>
  <c r="F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Karidza | GEPF</author>
  </authors>
  <commentList>
    <comment ref="H7" authorId="0" shapeId="0" xr:uid="{00000000-0006-0000-0E00-000001000000}">
      <text>
        <r>
          <rPr>
            <sz val="8"/>
            <rFont val="Tahoma"/>
            <family val="2"/>
          </rPr>
          <t>Based on 2 months before issue date of security</t>
        </r>
      </text>
    </comment>
  </commentList>
</comments>
</file>

<file path=xl/sharedStrings.xml><?xml version="1.0" encoding="utf-8"?>
<sst xmlns="http://schemas.openxmlformats.org/spreadsheetml/2006/main" count="346" uniqueCount="212">
  <si>
    <t>Policy Terms</t>
  </si>
  <si>
    <t>Policy Year</t>
  </si>
  <si>
    <t>Age</t>
  </si>
  <si>
    <t>Independent mortality rate qx</t>
  </si>
  <si>
    <t>Independent Surrender rate</t>
  </si>
  <si>
    <t>Age at outset</t>
  </si>
  <si>
    <t>exact.</t>
  </si>
  <si>
    <t>Policy Term</t>
  </si>
  <si>
    <t>30 years</t>
  </si>
  <si>
    <t>Death benefit</t>
  </si>
  <si>
    <t>The value of the AWP fund including the terminal bonus, subject to a minimum of £100,000, payable at the end of the year of death.</t>
  </si>
  <si>
    <t>Surrender benefit</t>
  </si>
  <si>
    <t>Return of premiums without interest.  Surrenders are only allowed at the end of policy years.</t>
  </si>
  <si>
    <t>Maturity benefit</t>
  </si>
  <si>
    <t>The value of the AWP fund at the end of the 30 year term</t>
  </si>
  <si>
    <t>Annual Premium</t>
  </si>
  <si>
    <t>payable annually in advance for the first 25 years of the policy, ceasing on death or withdrawal if earlier.</t>
  </si>
  <si>
    <t>Bonus structure</t>
  </si>
  <si>
    <t>A guaranteed minimum bonus of 2% per annum, applied at the end of each policy year.</t>
  </si>
  <si>
    <t xml:space="preserve">An additional variable bonus rate, which acts as a compound bonus, applied to the fund at the end of the policy year after the guararanteed bonus.  </t>
  </si>
  <si>
    <t>A terminal bonus, added on death or maturity.</t>
  </si>
  <si>
    <t>Profit Test Assumptions</t>
  </si>
  <si>
    <t>Assumed variable bonus rate</t>
  </si>
  <si>
    <t>per annum effective.</t>
  </si>
  <si>
    <t>Assumed terminal bonus rate</t>
  </si>
  <si>
    <t>of the accumulated fund</t>
  </si>
  <si>
    <t>Valuation interest rate</t>
  </si>
  <si>
    <t>Risk Discount Rate</t>
  </si>
  <si>
    <t>Independent decrement rates are given by the table.</t>
  </si>
  <si>
    <t>You should assume that deaths occur uniformly across each policy year.</t>
  </si>
  <si>
    <t>Surrenders are only allowed at the end of policy years.</t>
  </si>
  <si>
    <t>Initial Expenses</t>
  </si>
  <si>
    <t>at the start of the first policy year.</t>
  </si>
  <si>
    <t>Renewal expenses</t>
  </si>
  <si>
    <t>per annum, at the start of each subsequent policy year.</t>
  </si>
  <si>
    <t>Initial Commision</t>
  </si>
  <si>
    <t>of the premium payable at the start of the first policy year.</t>
  </si>
  <si>
    <t>Renewal Commission</t>
  </si>
  <si>
    <t>of the premiums payable at the start of each subsequent policy year.</t>
  </si>
  <si>
    <t>You should ignore reserves.</t>
  </si>
  <si>
    <t>[1]</t>
  </si>
  <si>
    <t>WITH-PROFITS FUND</t>
  </si>
  <si>
    <t>Fund at start</t>
  </si>
  <si>
    <t>Premium</t>
  </si>
  <si>
    <t>Fund after Guaranteed Bonus</t>
  </si>
  <si>
    <t>Fund after Variable Bonus</t>
  </si>
  <si>
    <t>Fund after Terminal Bonus</t>
  </si>
  <si>
    <t>Death Benefit</t>
  </si>
  <si>
    <t>Surrender Benefit</t>
  </si>
  <si>
    <t>Maturity Benefit</t>
  </si>
  <si>
    <t>[2]</t>
  </si>
  <si>
    <t>Premium received</t>
  </si>
  <si>
    <t>Expenses</t>
  </si>
  <si>
    <t>Commission</t>
  </si>
  <si>
    <t>Interest earned</t>
  </si>
  <si>
    <t>Cost of death benefit</t>
  </si>
  <si>
    <t>Cost of surrender</t>
  </si>
  <si>
    <t>Cost of maturity benefit</t>
  </si>
  <si>
    <t>Profit Vector</t>
  </si>
  <si>
    <t>(i)</t>
  </si>
  <si>
    <t>(ii)</t>
  </si>
  <si>
    <t>Time in years t</t>
  </si>
  <si>
    <t>Liability cashflow ($) at time t</t>
  </si>
  <si>
    <t>Time</t>
  </si>
  <si>
    <t>Liability cashflow ($)</t>
  </si>
  <si>
    <t xml:space="preserve">Discount factor </t>
  </si>
  <si>
    <t>PV Liabilities</t>
  </si>
  <si>
    <t>PV * Time</t>
  </si>
  <si>
    <t>Discount factors</t>
  </si>
  <si>
    <t>PV calculation</t>
  </si>
  <si>
    <t>Contribution to DMT</t>
  </si>
  <si>
    <t>Total PV</t>
  </si>
  <si>
    <t>DMT calculation</t>
  </si>
  <si>
    <t>Years</t>
  </si>
  <si>
    <t>Total</t>
  </si>
  <si>
    <t>Discounted Mean Term</t>
  </si>
  <si>
    <t>years</t>
  </si>
  <si>
    <t>Price of bond i =</t>
  </si>
  <si>
    <t>per $1 nominal</t>
  </si>
  <si>
    <t>Amount of bond needed</t>
  </si>
  <si>
    <t>nominal</t>
  </si>
  <si>
    <t>1.  The PV of the assets and liabilities is equal so the first condition holds.</t>
  </si>
  <si>
    <t>2.  The DMT / duration of the assets is 20 years as the only asset is a zero coupon bond of term 20.</t>
  </si>
  <si>
    <t xml:space="preserve">3.  The convexity of the assets will be lower than the convextiy of the liabilities as the liability payments are more "spread out". </t>
  </si>
  <si>
    <t>3.  This is the opposite of what is required by Redington's 3rd condition, so the 3rd condition does not hold.</t>
  </si>
  <si>
    <t>In fact, the opposite will hold - a small change in interest rates will lead to a deficit.</t>
  </si>
  <si>
    <t>[Max. 8]</t>
  </si>
  <si>
    <t>Independent Mortality Rate</t>
  </si>
  <si>
    <t>Independent ill-health Rate</t>
  </si>
  <si>
    <t>Independent Withdrawal rate</t>
  </si>
  <si>
    <t>Policy information - 30-year assurance policy</t>
  </si>
  <si>
    <t>Policyholder age at start of policy:</t>
  </si>
  <si>
    <t>Benefits:        An Annuity Certain of</t>
  </si>
  <si>
    <t>per month for the remainder of the 30-year term, payable monthly in advance.</t>
  </si>
  <si>
    <r>
      <t>q</t>
    </r>
    <r>
      <rPr>
        <b/>
        <vertAlign val="subscript"/>
        <sz val="11"/>
        <rFont val="Calibri"/>
        <family val="2"/>
        <scheme val="minor"/>
      </rPr>
      <t>x</t>
    </r>
    <r>
      <rPr>
        <b/>
        <vertAlign val="superscript"/>
        <sz val="11"/>
        <rFont val="Calibri"/>
        <family val="2"/>
        <scheme val="minor"/>
      </rPr>
      <t>d</t>
    </r>
  </si>
  <si>
    <r>
      <t>q</t>
    </r>
    <r>
      <rPr>
        <b/>
        <vertAlign val="subscript"/>
        <sz val="11"/>
        <rFont val="Calibri"/>
        <family val="2"/>
        <scheme val="minor"/>
      </rPr>
      <t>x</t>
    </r>
    <r>
      <rPr>
        <b/>
        <vertAlign val="superscript"/>
        <sz val="11"/>
        <rFont val="Calibri"/>
        <family val="2"/>
        <scheme val="minor"/>
      </rPr>
      <t>s</t>
    </r>
  </si>
  <si>
    <r>
      <t>q</t>
    </r>
    <r>
      <rPr>
        <b/>
        <vertAlign val="subscript"/>
        <sz val="11"/>
        <rFont val="Calibri"/>
        <family val="2"/>
        <scheme val="minor"/>
      </rPr>
      <t>x</t>
    </r>
    <r>
      <rPr>
        <b/>
        <vertAlign val="superscript"/>
        <sz val="11"/>
        <rFont val="Calibri"/>
        <family val="2"/>
        <scheme val="minor"/>
      </rPr>
      <t>w</t>
    </r>
  </si>
  <si>
    <t>Benefit payments start in the month following death or diagnosis of critical illness</t>
  </si>
  <si>
    <t>Only one benefit will be paid</t>
  </si>
  <si>
    <t>ie the policyholder will not receive both a critical illness and death benefit</t>
  </si>
  <si>
    <t>Level premiums are payable annually in advance throughout the term, ceasing as soon as a benefit payment starts.</t>
  </si>
  <si>
    <t xml:space="preserve">Withdrawals are allowed at the end of each policy year.  </t>
  </si>
  <si>
    <t>On withdrawal, the policy terminates immediately and all benefit entitlement ceases immediately.</t>
  </si>
  <si>
    <t>Pricing assumptions</t>
  </si>
  <si>
    <t>Mortality, ill-health (ie critical illness diagnosis) and withdrawal</t>
  </si>
  <si>
    <t>See table on right</t>
  </si>
  <si>
    <t>Deaths and diagnoses are assumed to occur uniformly across years of age.</t>
  </si>
  <si>
    <t>It is assumed that, after a critical illness diagnosis, no recovery is possible.</t>
  </si>
  <si>
    <t>Effective rate of interest:</t>
  </si>
  <si>
    <t>per annum</t>
  </si>
  <si>
    <t>PV</t>
  </si>
  <si>
    <t>DMT</t>
  </si>
  <si>
    <t>See seperate sheet</t>
  </si>
  <si>
    <t>Independent rate of:</t>
  </si>
  <si>
    <t>Independent force of:</t>
  </si>
  <si>
    <t>Dependent probability of:</t>
  </si>
  <si>
    <t>Age at start</t>
  </si>
  <si>
    <r>
      <t>Mortality q</t>
    </r>
    <r>
      <rPr>
        <b/>
        <vertAlign val="superscript"/>
        <sz val="11"/>
        <color theme="1"/>
        <rFont val="Calibri"/>
        <family val="2"/>
        <scheme val="minor"/>
      </rPr>
      <t>x</t>
    </r>
  </si>
  <si>
    <r>
      <t>Ill-health q</t>
    </r>
    <r>
      <rPr>
        <b/>
        <vertAlign val="superscript"/>
        <sz val="11"/>
        <color theme="1"/>
        <rFont val="Calibri"/>
        <family val="2"/>
        <scheme val="minor"/>
      </rPr>
      <t>s</t>
    </r>
  </si>
  <si>
    <r>
      <t>Withdrawal q</t>
    </r>
    <r>
      <rPr>
        <b/>
        <vertAlign val="superscript"/>
        <sz val="11"/>
        <color theme="1"/>
        <rFont val="Calibri"/>
        <family val="2"/>
        <scheme val="minor"/>
      </rPr>
      <t>w</t>
    </r>
  </si>
  <si>
    <r>
      <t>Mortality mu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</si>
  <si>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Ill-health mu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</si>
  <si>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Mortality (aq)</t>
    </r>
    <r>
      <rPr>
        <b/>
        <vertAlign val="subscript"/>
        <sz val="11"/>
        <color theme="1"/>
        <rFont val="Calibri"/>
        <family val="2"/>
        <scheme val="minor"/>
      </rPr>
      <t>x</t>
    </r>
  </si>
  <si>
    <r>
      <t>Ill-health (aq)</t>
    </r>
    <r>
      <rPr>
        <b/>
        <vertAlign val="subscript"/>
        <sz val="11"/>
        <color theme="1"/>
        <rFont val="Calibri"/>
        <family val="2"/>
        <scheme val="minor"/>
      </rPr>
      <t>s</t>
    </r>
  </si>
  <si>
    <r>
      <t>Withdrawal (aq)</t>
    </r>
    <r>
      <rPr>
        <b/>
        <vertAlign val="subscript"/>
        <sz val="11"/>
        <color theme="1"/>
        <rFont val="Calibri"/>
        <family val="2"/>
        <scheme val="minor"/>
      </rPr>
      <t>w</t>
    </r>
  </si>
  <si>
    <t>i</t>
  </si>
  <si>
    <t>PV benefits</t>
  </si>
  <si>
    <t>PV premiums of 1 pa</t>
  </si>
  <si>
    <t>Premium charged</t>
  </si>
  <si>
    <r>
      <t>Mortality 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</si>
  <si>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Ill-health 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s</t>
    </r>
  </si>
  <si>
    <r>
      <t>Withdrawal (aq)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w</t>
    </r>
  </si>
  <si>
    <r>
      <t>Survival (ap)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</si>
  <si>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Probability of claim payment</t>
  </si>
  <si>
    <t>Annuity term</t>
  </si>
  <si>
    <t>Annuity Certain</t>
  </si>
  <si>
    <t>Claim cost at year end</t>
  </si>
  <si>
    <t>Survival to year start</t>
  </si>
  <si>
    <t>Discount factor benefits</t>
  </si>
  <si>
    <t>Discount factor premiums</t>
  </si>
  <si>
    <t>PV of claims</t>
  </si>
  <si>
    <t>PV of premium of 1 pa</t>
  </si>
  <si>
    <t>(a)</t>
  </si>
  <si>
    <t>[Max 2]</t>
  </si>
  <si>
    <t>(b)</t>
  </si>
  <si>
    <t>Company could:</t>
  </si>
  <si>
    <t>Change the benefit structure so that premiums better match the benefits.</t>
  </si>
  <si>
    <t>Change the premium structure so that premiums better match the benefits.</t>
  </si>
  <si>
    <t>For example, limit the premium payment term.</t>
  </si>
  <si>
    <t>[Overall Max for (iii) 4]</t>
  </si>
  <si>
    <t>See separate sheet</t>
  </si>
  <si>
    <t>Price</t>
  </si>
  <si>
    <t>(iii)</t>
  </si>
  <si>
    <t>See separate sheet.</t>
  </si>
  <si>
    <t>Historic inflation index numbers</t>
  </si>
  <si>
    <t>Investor X does not pay any tax.</t>
  </si>
  <si>
    <t>Investor A is a taxpayer.</t>
  </si>
  <si>
    <t xml:space="preserve">The future Income tax rate is assumed to be </t>
  </si>
  <si>
    <t>The future capital gains tax rate is assumed to be</t>
  </si>
  <si>
    <t>Future inflation is assumed to be at at an annual effective rate of 5.50% per annum.</t>
  </si>
  <si>
    <t>All months are assumed to be of equal lengh.</t>
  </si>
  <si>
    <t>Nominal amount</t>
  </si>
  <si>
    <t>Income tax rate</t>
  </si>
  <si>
    <t>Capital gains tax rate</t>
  </si>
  <si>
    <t>Coupon rate</t>
  </si>
  <si>
    <t>Frequency</t>
  </si>
  <si>
    <t>half-yearly</t>
  </si>
  <si>
    <t>Annual future inflation</t>
  </si>
  <si>
    <t>Monthly future inflation</t>
  </si>
  <si>
    <t>Total PV of coupons and redemption payment</t>
  </si>
  <si>
    <t>Yield</t>
  </si>
  <si>
    <t>As this is less than the redemption payment we know that there is a capital gain and so CGT is due</t>
  </si>
  <si>
    <t>Baseline index value</t>
  </si>
  <si>
    <t>[3]</t>
  </si>
  <si>
    <t>Date</t>
  </si>
  <si>
    <t>Date+2 month</t>
  </si>
  <si>
    <t>Projected Index value-no time lag provision</t>
  </si>
  <si>
    <t>Time in years</t>
  </si>
  <si>
    <t>Index value (2 month lag)</t>
  </si>
  <si>
    <t>Inflation adjustment (with lag)</t>
  </si>
  <si>
    <t>Discount factor</t>
  </si>
  <si>
    <t>Coupon payments net of income tax</t>
  </si>
  <si>
    <t>PV of Coupon payments</t>
  </si>
  <si>
    <t>Redemption payment</t>
  </si>
  <si>
    <t>PV of Redemption payment</t>
  </si>
  <si>
    <t>Price paid - investor A</t>
  </si>
  <si>
    <t>Sum of pv of discounted cashflows</t>
  </si>
  <si>
    <t>This is approximately equal to the purchase price and so the real  yield is approximately 3.25%pa.</t>
  </si>
  <si>
    <t>Sale price of bond</t>
  </si>
  <si>
    <t>Nominal</t>
  </si>
  <si>
    <t>Real yield</t>
  </si>
  <si>
    <t>Actual historic and projected Index value-no time lag provision</t>
  </si>
  <si>
    <t>Coupon payments</t>
  </si>
  <si>
    <t>Sale proceeds</t>
  </si>
  <si>
    <t>Index value(without lag)</t>
  </si>
  <si>
    <t>Payment in purchase date terms</t>
  </si>
  <si>
    <t>Readjusted payments in purchase date terms</t>
  </si>
  <si>
    <t>Discount factor(real yield)</t>
  </si>
  <si>
    <t>PV of payments in purchase date terms</t>
  </si>
  <si>
    <t>Real yield shown to be approximately 3.25% pa, as the PV of cashflows at an interest rate equal to this yield equals approximately price paid by X.</t>
  </si>
  <si>
    <t>Redington's 3 conditions for immunisation are:</t>
  </si>
  <si>
    <t>1. The PV of the assets must equal the PV of the liabilities.</t>
  </si>
  <si>
    <t>2. The DMT (or volatility) of the assets must equal the DMT (or volatility) of the liabilities.</t>
  </si>
  <si>
    <t>3. The convexity of the assets must exceed that of the liabilities.</t>
  </si>
  <si>
    <t>Considering each of these conditions in turn:</t>
  </si>
  <si>
    <t>The liabilities are therefore not immunised.</t>
  </si>
  <si>
    <t>2.  The DMT / duration of the liabilities is very close to 20 (within 0.3%) so the second condition holds.</t>
  </si>
  <si>
    <t>The term of the annuity benefit (and hence its value) is decreasing, but the premiums are fixed.</t>
  </si>
  <si>
    <t>In the later years, the value of the remaining premiums exceeds the value of the remaining benefits</t>
  </si>
  <si>
    <t>Hence policyholders may lapse - higher withdrawals than expected will lead to a loss.</t>
  </si>
  <si>
    <t>Price paid by investor A</t>
  </si>
  <si>
    <r>
      <rPr>
        <sz val="11"/>
        <color theme="1"/>
        <rFont val="Calibri"/>
        <family val="2"/>
        <scheme val="minor"/>
      </rPr>
      <t>d</t>
    </r>
    <r>
      <rPr>
        <vertAlign val="superscript"/>
        <sz val="11"/>
        <color theme="1"/>
        <rFont val="Calibri"/>
        <family val="2"/>
        <scheme val="minor"/>
      </rPr>
      <t>(12)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</si>
</sst>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0.0%"/>
    <numFmt numFmtId="166" formatCode="_-* #,##0_-;\-* #,##0_-;_-* &quot;-&quot;??_-;_-@_-"/>
    <numFmt numFmtId="167" formatCode="#,##0_ ;[Red]\-#,##0\ "/>
    <numFmt numFmtId="168" formatCode="0.000%"/>
    <numFmt numFmtId="169" formatCode="0.000000"/>
    <numFmt numFmtId="170" formatCode="_-[$$-409]* #,##0_ ;_-[$$-409]* \-#,##0\ ;_-[$$-409]* &quot;-&quot;??_ ;_-@_ "/>
    <numFmt numFmtId="171" formatCode="0.0000000"/>
    <numFmt numFmtId="172" formatCode="#,##0.000000"/>
    <numFmt numFmtId="173" formatCode="###.0000\ ##0"/>
    <numFmt numFmtId="174" formatCode="_-* #,##0.0000_-;\-* #,##0.0000_-;_-* &quot;-&quot;??_-;_-@_-"/>
    <numFmt numFmtId="175" formatCode="_-* #,##0.00000_-;\-* #,##0.00000_-;_-* &quot;-&quot;??_-;_-@_-"/>
    <numFmt numFmtId="176" formatCode="0.00000"/>
    <numFmt numFmtId="177" formatCode="0.0000"/>
    <numFmt numFmtId="178" formatCode="#,##0.0000000000"/>
    <numFmt numFmtId="179" formatCode="0.0000%"/>
    <numFmt numFmtId="180" formatCode="#,##0.00000"/>
    <numFmt numFmtId="181" formatCode="_-* #,##0.000_-;\-* #,##0.000_-;_-* &quot;-&quot;??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1"/>
      <color indexed="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indexed="2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/>
    <xf numFmtId="44" fontId="11" fillId="0" borderId="0"/>
    <xf numFmtId="9" fontId="11" fillId="0" borderId="0"/>
  </cellStyleXfs>
  <cellXfs count="131">
    <xf numFmtId="0" fontId="0" fillId="0" borderId="0" xfId="0"/>
    <xf numFmtId="0" fontId="2" fillId="0" borderId="0" xfId="0" applyFont="1"/>
    <xf numFmtId="6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5" fontId="0" fillId="0" borderId="0" xfId="0" applyNumberFormat="1"/>
    <xf numFmtId="9" fontId="0" fillId="0" borderId="0" xfId="0" applyNumberFormat="1"/>
    <xf numFmtId="10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0" applyFont="1" applyAlignment="1">
      <alignment wrapText="1"/>
    </xf>
    <xf numFmtId="166" fontId="0" fillId="0" borderId="0" xfId="0" applyNumberFormat="1"/>
    <xf numFmtId="166" fontId="11" fillId="0" borderId="0" xfId="1" applyNumberFormat="1" applyAlignment="1">
      <alignment horizontal="center"/>
    </xf>
    <xf numFmtId="164" fontId="0" fillId="0" borderId="0" xfId="0" applyNumberFormat="1"/>
    <xf numFmtId="171" fontId="0" fillId="0" borderId="0" xfId="0" applyNumberFormat="1"/>
    <xf numFmtId="170" fontId="0" fillId="0" borderId="0" xfId="0" applyNumberFormat="1"/>
    <xf numFmtId="0" fontId="2" fillId="0" borderId="4" xfId="0" applyFont="1" applyBorder="1" applyAlignment="1">
      <alignment horizontal="center"/>
    </xf>
    <xf numFmtId="172" fontId="10" fillId="0" borderId="4" xfId="0" applyNumberFormat="1" applyFont="1" applyBorder="1" applyAlignment="1">
      <alignment horizontal="center"/>
    </xf>
    <xf numFmtId="172" fontId="10" fillId="0" borderId="0" xfId="0" applyNumberFormat="1" applyFont="1" applyAlignment="1">
      <alignment horizontal="center"/>
    </xf>
    <xf numFmtId="173" fontId="9" fillId="0" borderId="0" xfId="0" applyNumberFormat="1" applyFont="1"/>
    <xf numFmtId="171" fontId="0" fillId="0" borderId="4" xfId="0" applyNumberFormat="1" applyBorder="1"/>
    <xf numFmtId="1" fontId="2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10" fontId="11" fillId="0" borderId="0" xfId="3" applyNumberFormat="1"/>
    <xf numFmtId="166" fontId="11" fillId="0" borderId="0" xfId="1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0" fontId="2" fillId="0" borderId="0" xfId="3" applyNumberFormat="1" applyFont="1"/>
    <xf numFmtId="14" fontId="0" fillId="0" borderId="0" xfId="0" applyNumberFormat="1" applyAlignment="1">
      <alignment horizontal="center"/>
    </xf>
    <xf numFmtId="10" fontId="2" fillId="0" borderId="0" xfId="3" applyNumberFormat="1" applyFont="1" applyAlignment="1">
      <alignment horizontal="right"/>
    </xf>
    <xf numFmtId="4" fontId="0" fillId="0" borderId="0" xfId="0" applyNumberFormat="1"/>
    <xf numFmtId="168" fontId="0" fillId="0" borderId="0" xfId="0" applyNumberFormat="1"/>
    <xf numFmtId="0" fontId="19" fillId="0" borderId="0" xfId="0" applyFont="1"/>
    <xf numFmtId="0" fontId="2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6" fontId="6" fillId="0" borderId="0" xfId="0" applyNumberFormat="1" applyFont="1" applyFill="1"/>
    <xf numFmtId="9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1" applyNumberFormat="1" applyFont="1" applyFill="1"/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43" fontId="11" fillId="0" borderId="0" xfId="1" applyFill="1"/>
    <xf numFmtId="43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6" fontId="6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10" fontId="6" fillId="0" borderId="0" xfId="0" applyNumberFormat="1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4" xfId="0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43" fontId="8" fillId="0" borderId="4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167" fontId="9" fillId="0" borderId="0" xfId="1" applyNumberFormat="1" applyFont="1" applyFill="1"/>
    <xf numFmtId="168" fontId="6" fillId="0" borderId="0" xfId="3" applyNumberFormat="1" applyFont="1" applyFill="1" applyAlignment="1">
      <alignment horizontal="center"/>
    </xf>
    <xf numFmtId="166" fontId="11" fillId="0" borderId="0" xfId="1" applyNumberFormat="1" applyFill="1" applyAlignment="1">
      <alignment horizontal="center"/>
    </xf>
    <xf numFmtId="169" fontId="11" fillId="0" borderId="0" xfId="2" applyNumberFormat="1" applyFill="1"/>
    <xf numFmtId="166" fontId="0" fillId="0" borderId="0" xfId="0" applyNumberForma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64" fontId="0" fillId="0" borderId="0" xfId="0" applyNumberFormat="1" applyFill="1"/>
    <xf numFmtId="0" fontId="5" fillId="0" borderId="0" xfId="0" applyFont="1" applyFill="1"/>
    <xf numFmtId="0" fontId="0" fillId="0" borderId="0" xfId="0" applyFill="1" applyAlignment="1">
      <alignment horizontal="right"/>
    </xf>
    <xf numFmtId="165" fontId="6" fillId="0" borderId="0" xfId="0" applyNumberFormat="1" applyFont="1" applyFill="1" applyAlignment="1">
      <alignment horizontal="left"/>
    </xf>
    <xf numFmtId="0" fontId="0" fillId="0" borderId="0" xfId="0" quotePrefix="1" applyFill="1" applyAlignment="1">
      <alignment horizontal="left"/>
    </xf>
    <xf numFmtId="170" fontId="11" fillId="0" borderId="0" xfId="2" applyNumberFormat="1" applyFill="1"/>
    <xf numFmtId="0" fontId="20" fillId="0" borderId="0" xfId="0" applyFont="1" applyFill="1"/>
    <xf numFmtId="0" fontId="19" fillId="0" borderId="0" xfId="0" applyFont="1" applyFill="1"/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2" fontId="0" fillId="0" borderId="0" xfId="0" applyNumberFormat="1" applyFill="1"/>
    <xf numFmtId="10" fontId="0" fillId="0" borderId="0" xfId="0" applyNumberFormat="1" applyFill="1"/>
    <xf numFmtId="0" fontId="10" fillId="0" borderId="0" xfId="0" applyFont="1" applyFill="1" applyAlignment="1">
      <alignment horizontal="right"/>
    </xf>
    <xf numFmtId="0" fontId="22" fillId="0" borderId="0" xfId="0" applyFont="1" applyFill="1"/>
    <xf numFmtId="168" fontId="0" fillId="0" borderId="0" xfId="0" applyNumberFormat="1" applyFill="1"/>
    <xf numFmtId="43" fontId="9" fillId="0" borderId="0" xfId="0" applyNumberFormat="1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5" xfId="0" applyFont="1" applyFill="1" applyBorder="1"/>
    <xf numFmtId="166" fontId="9" fillId="0" borderId="5" xfId="1" applyNumberFormat="1" applyFont="1" applyFill="1" applyBorder="1"/>
    <xf numFmtId="0" fontId="10" fillId="0" borderId="0" xfId="0" applyFont="1" applyFill="1"/>
    <xf numFmtId="0" fontId="2" fillId="0" borderId="3" xfId="0" applyFont="1" applyFill="1" applyBorder="1" applyAlignment="1">
      <alignment horizontal="center" wrapText="1"/>
    </xf>
    <xf numFmtId="171" fontId="0" fillId="0" borderId="0" xfId="0" applyNumberFormat="1" applyFill="1"/>
    <xf numFmtId="181" fontId="0" fillId="0" borderId="0" xfId="0" applyNumberFormat="1" applyFill="1"/>
    <xf numFmtId="174" fontId="0" fillId="0" borderId="0" xfId="0" applyNumberFormat="1" applyFill="1"/>
    <xf numFmtId="175" fontId="0" fillId="0" borderId="0" xfId="0" applyNumberFormat="1" applyFill="1"/>
    <xf numFmtId="9" fontId="0" fillId="0" borderId="0" xfId="0" applyNumberFormat="1" applyFill="1"/>
    <xf numFmtId="0" fontId="0" fillId="0" borderId="0" xfId="0" applyFill="1" applyAlignment="1">
      <alignment wrapText="1"/>
    </xf>
    <xf numFmtId="4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9" fillId="0" borderId="0" xfId="0" applyFont="1" applyFill="1" applyAlignment="1">
      <alignment horizontal="right"/>
    </xf>
    <xf numFmtId="2" fontId="0" fillId="0" borderId="0" xfId="0" applyNumberFormat="1" applyFill="1" applyAlignment="1">
      <alignment wrapText="1"/>
    </xf>
    <xf numFmtId="0" fontId="5" fillId="0" borderId="0" xfId="0" applyFont="1" applyFill="1" applyAlignment="1">
      <alignment wrapText="1"/>
    </xf>
    <xf numFmtId="4" fontId="2" fillId="0" borderId="0" xfId="0" applyNumberFormat="1" applyFont="1" applyFill="1"/>
    <xf numFmtId="0" fontId="18" fillId="0" borderId="0" xfId="0" applyFont="1" applyFill="1" applyAlignment="1">
      <alignment wrapText="1"/>
    </xf>
    <xf numFmtId="14" fontId="0" fillId="0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wrapText="1"/>
    </xf>
    <xf numFmtId="4" fontId="0" fillId="0" borderId="0" xfId="0" applyNumberFormat="1" applyFill="1" applyAlignment="1">
      <alignment wrapText="1"/>
    </xf>
    <xf numFmtId="177" fontId="0" fillId="0" borderId="0" xfId="0" applyNumberFormat="1" applyFill="1" applyAlignment="1">
      <alignment wrapText="1"/>
    </xf>
    <xf numFmtId="3" fontId="0" fillId="0" borderId="0" xfId="0" applyNumberFormat="1" applyFill="1"/>
    <xf numFmtId="178" fontId="0" fillId="0" borderId="0" xfId="0" applyNumberFormat="1" applyFill="1"/>
    <xf numFmtId="179" fontId="0" fillId="0" borderId="0" xfId="0" applyNumberFormat="1" applyFill="1"/>
    <xf numFmtId="4" fontId="5" fillId="0" borderId="0" xfId="0" applyNumberFormat="1" applyFont="1" applyFill="1" applyAlignment="1">
      <alignment horizontal="center"/>
    </xf>
    <xf numFmtId="14" fontId="0" fillId="0" borderId="0" xfId="0" applyNumberFormat="1" applyFill="1"/>
    <xf numFmtId="176" fontId="0" fillId="0" borderId="0" xfId="0" applyNumberFormat="1" applyFill="1"/>
    <xf numFmtId="180" fontId="0" fillId="0" borderId="0" xfId="0" applyNumberFormat="1" applyFill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5"/>
  <sheetViews>
    <sheetView tabSelected="1" workbookViewId="0"/>
  </sheetViews>
  <sheetFormatPr defaultRowHeight="15" x14ac:dyDescent="0.25"/>
  <cols>
    <col min="1" max="1" width="3.28515625" customWidth="1"/>
    <col min="4" max="4" width="13.7109375" customWidth="1"/>
    <col min="5" max="5" width="13.28515625" customWidth="1"/>
    <col min="6" max="6" width="5.140625" customWidth="1"/>
    <col min="7" max="7" width="27.140625" customWidth="1"/>
    <col min="17" max="17" width="14.42578125" customWidth="1"/>
  </cols>
  <sheetData>
    <row r="2" spans="2:9" x14ac:dyDescent="0.25">
      <c r="G2" s="1" t="s">
        <v>0</v>
      </c>
    </row>
    <row r="3" spans="2:9" ht="15" customHeight="1" x14ac:dyDescent="0.25">
      <c r="B3" s="40" t="s">
        <v>1</v>
      </c>
      <c r="C3" s="40" t="s">
        <v>2</v>
      </c>
      <c r="D3" s="40" t="s">
        <v>3</v>
      </c>
      <c r="E3" s="40" t="s">
        <v>4</v>
      </c>
      <c r="G3" t="s">
        <v>5</v>
      </c>
      <c r="H3">
        <v>33</v>
      </c>
      <c r="I3" t="s">
        <v>6</v>
      </c>
    </row>
    <row r="4" spans="2:9" x14ac:dyDescent="0.25">
      <c r="B4" s="41"/>
      <c r="C4" s="41"/>
      <c r="D4" s="41"/>
      <c r="E4" s="41"/>
      <c r="G4" t="s">
        <v>7</v>
      </c>
      <c r="H4" t="s">
        <v>8</v>
      </c>
    </row>
    <row r="5" spans="2:9" x14ac:dyDescent="0.25">
      <c r="B5" s="42"/>
      <c r="C5" s="42"/>
      <c r="D5" s="42"/>
      <c r="E5" s="42"/>
      <c r="G5" t="s">
        <v>9</v>
      </c>
      <c r="H5" s="2" t="s">
        <v>10</v>
      </c>
    </row>
    <row r="6" spans="2:9" x14ac:dyDescent="0.25">
      <c r="B6" s="3">
        <v>1</v>
      </c>
      <c r="C6" s="3">
        <v>33</v>
      </c>
      <c r="D6" s="4">
        <v>8.0940000000000005E-4</v>
      </c>
      <c r="E6" s="5">
        <v>0.2</v>
      </c>
      <c r="G6" t="s">
        <v>11</v>
      </c>
      <c r="H6" s="2" t="s">
        <v>12</v>
      </c>
    </row>
    <row r="7" spans="2:9" x14ac:dyDescent="0.25">
      <c r="B7" s="3">
        <v>2</v>
      </c>
      <c r="C7" s="3">
        <v>34</v>
      </c>
      <c r="D7" s="4">
        <v>8.6890000000000003E-4</v>
      </c>
      <c r="E7" s="5">
        <v>0.1</v>
      </c>
      <c r="G7" t="s">
        <v>13</v>
      </c>
      <c r="H7" s="2" t="s">
        <v>14</v>
      </c>
    </row>
    <row r="8" spans="2:9" x14ac:dyDescent="0.25">
      <c r="B8" s="3">
        <v>3</v>
      </c>
      <c r="C8" s="3">
        <v>35</v>
      </c>
      <c r="D8" s="4">
        <v>9.366E-4</v>
      </c>
      <c r="E8" s="5">
        <v>0.1</v>
      </c>
      <c r="G8" t="s">
        <v>15</v>
      </c>
      <c r="H8" s="2">
        <v>4000</v>
      </c>
      <c r="I8" t="s">
        <v>16</v>
      </c>
    </row>
    <row r="9" spans="2:9" x14ac:dyDescent="0.25">
      <c r="B9" s="3">
        <v>4</v>
      </c>
      <c r="C9" s="3">
        <v>36</v>
      </c>
      <c r="D9" s="4">
        <v>1.0141E-3</v>
      </c>
      <c r="E9" s="5">
        <v>0.1</v>
      </c>
      <c r="H9" s="6"/>
    </row>
    <row r="10" spans="2:9" x14ac:dyDescent="0.25">
      <c r="B10" s="3">
        <v>5</v>
      </c>
      <c r="C10" s="3">
        <v>37</v>
      </c>
      <c r="D10" s="4">
        <v>1.1039999999999999E-3</v>
      </c>
      <c r="E10" s="5">
        <v>0.1</v>
      </c>
    </row>
    <row r="11" spans="2:9" x14ac:dyDescent="0.25">
      <c r="B11" s="3">
        <v>6</v>
      </c>
      <c r="C11" s="3">
        <v>38</v>
      </c>
      <c r="D11" s="4">
        <v>1.2045999999999999E-3</v>
      </c>
      <c r="E11" s="5">
        <v>7.4999999999999997E-2</v>
      </c>
      <c r="G11" s="1" t="s">
        <v>17</v>
      </c>
    </row>
    <row r="12" spans="2:9" x14ac:dyDescent="0.25">
      <c r="B12" s="3">
        <v>7</v>
      </c>
      <c r="C12" s="3">
        <v>39</v>
      </c>
      <c r="D12" s="4">
        <v>1.3154E-3</v>
      </c>
      <c r="E12" s="5">
        <v>7.4999999999999997E-2</v>
      </c>
      <c r="G12" t="s">
        <v>18</v>
      </c>
    </row>
    <row r="13" spans="2:9" x14ac:dyDescent="0.25">
      <c r="B13" s="3">
        <v>8</v>
      </c>
      <c r="C13" s="3">
        <v>40</v>
      </c>
      <c r="D13" s="4">
        <v>1.4407000000000001E-3</v>
      </c>
      <c r="E13" s="5">
        <v>7.4999999999999997E-2</v>
      </c>
      <c r="G13" t="s">
        <v>19</v>
      </c>
    </row>
    <row r="14" spans="2:9" x14ac:dyDescent="0.25">
      <c r="B14" s="3">
        <v>9</v>
      </c>
      <c r="C14" s="3">
        <v>41</v>
      </c>
      <c r="D14" s="4">
        <v>1.5759000000000001E-3</v>
      </c>
      <c r="E14" s="5">
        <v>7.4999999999999997E-2</v>
      </c>
      <c r="G14" t="s">
        <v>20</v>
      </c>
    </row>
    <row r="15" spans="2:9" x14ac:dyDescent="0.25">
      <c r="B15" s="3">
        <v>10</v>
      </c>
      <c r="C15" s="3">
        <v>42</v>
      </c>
      <c r="D15" s="4">
        <v>1.7167E-3</v>
      </c>
      <c r="E15" s="5">
        <v>7.4999999999999997E-2</v>
      </c>
    </row>
    <row r="16" spans="2:9" x14ac:dyDescent="0.25">
      <c r="B16" s="3">
        <v>11</v>
      </c>
      <c r="C16" s="3">
        <v>43</v>
      </c>
      <c r="D16" s="4">
        <v>1.8663E-3</v>
      </c>
      <c r="E16" s="5">
        <v>0.05</v>
      </c>
      <c r="G16" s="1" t="s">
        <v>21</v>
      </c>
    </row>
    <row r="17" spans="2:9" x14ac:dyDescent="0.25">
      <c r="B17" s="3">
        <v>12</v>
      </c>
      <c r="C17" s="3">
        <v>44</v>
      </c>
      <c r="D17" s="4">
        <v>2.0235000000000001E-3</v>
      </c>
      <c r="E17" s="5">
        <v>0.05</v>
      </c>
      <c r="G17" t="s">
        <v>22</v>
      </c>
      <c r="H17" s="6">
        <v>4.4999999999999998E-2</v>
      </c>
      <c r="I17" t="s">
        <v>23</v>
      </c>
    </row>
    <row r="18" spans="2:9" x14ac:dyDescent="0.25">
      <c r="B18" s="3">
        <v>13</v>
      </c>
      <c r="C18" s="3">
        <v>45</v>
      </c>
      <c r="D18" s="4">
        <v>2.1841999999999999E-3</v>
      </c>
      <c r="E18" s="5">
        <v>0.05</v>
      </c>
      <c r="G18" t="s">
        <v>24</v>
      </c>
      <c r="H18" s="7">
        <v>0.15</v>
      </c>
      <c r="I18" t="s">
        <v>25</v>
      </c>
    </row>
    <row r="19" spans="2:9" x14ac:dyDescent="0.25">
      <c r="B19" s="3">
        <v>14</v>
      </c>
      <c r="C19" s="3">
        <v>46</v>
      </c>
      <c r="D19" s="4">
        <v>2.3508000000000001E-3</v>
      </c>
      <c r="E19" s="5">
        <v>0.05</v>
      </c>
      <c r="G19" t="s">
        <v>26</v>
      </c>
      <c r="H19" s="8">
        <v>4.7500000000000001E-2</v>
      </c>
      <c r="I19" t="s">
        <v>23</v>
      </c>
    </row>
    <row r="20" spans="2:9" x14ac:dyDescent="0.25">
      <c r="B20" s="3">
        <v>15</v>
      </c>
      <c r="C20" s="3">
        <v>47</v>
      </c>
      <c r="D20" s="4">
        <v>2.5247999999999998E-3</v>
      </c>
      <c r="E20" s="5">
        <v>0.05</v>
      </c>
      <c r="G20" t="s">
        <v>27</v>
      </c>
      <c r="H20" s="6">
        <v>7.4999999999999997E-2</v>
      </c>
      <c r="I20" t="s">
        <v>23</v>
      </c>
    </row>
    <row r="21" spans="2:9" x14ac:dyDescent="0.25">
      <c r="B21" s="3">
        <v>16</v>
      </c>
      <c r="C21" s="3">
        <v>48</v>
      </c>
      <c r="D21" s="4">
        <v>2.7063E-3</v>
      </c>
      <c r="E21" s="5">
        <v>2.5000000000000001E-2</v>
      </c>
    </row>
    <row r="22" spans="2:9" x14ac:dyDescent="0.25">
      <c r="B22" s="3">
        <v>17</v>
      </c>
      <c r="C22" s="3">
        <v>49</v>
      </c>
      <c r="D22" s="4">
        <v>2.8974000000000001E-3</v>
      </c>
      <c r="E22" s="5">
        <v>2.5000000000000001E-2</v>
      </c>
      <c r="G22" t="s">
        <v>28</v>
      </c>
    </row>
    <row r="23" spans="2:9" x14ac:dyDescent="0.25">
      <c r="B23" s="3">
        <v>18</v>
      </c>
      <c r="C23" s="3">
        <v>50</v>
      </c>
      <c r="D23" s="4">
        <v>3.1005999999999998E-3</v>
      </c>
      <c r="E23" s="5">
        <v>2.5000000000000001E-2</v>
      </c>
      <c r="G23" t="s">
        <v>29</v>
      </c>
    </row>
    <row r="24" spans="2:9" x14ac:dyDescent="0.25">
      <c r="B24" s="3">
        <v>19</v>
      </c>
      <c r="C24" s="3">
        <v>51</v>
      </c>
      <c r="D24" s="4">
        <v>3.3200999999999999E-3</v>
      </c>
      <c r="E24" s="5">
        <v>2.5000000000000001E-2</v>
      </c>
      <c r="G24" t="s">
        <v>30</v>
      </c>
    </row>
    <row r="25" spans="2:9" x14ac:dyDescent="0.25">
      <c r="B25" s="3">
        <v>20</v>
      </c>
      <c r="C25" s="3">
        <v>52</v>
      </c>
      <c r="D25" s="4">
        <v>3.5609999999999999E-3</v>
      </c>
      <c r="E25" s="5">
        <v>2.5000000000000001E-2</v>
      </c>
    </row>
    <row r="26" spans="2:9" x14ac:dyDescent="0.25">
      <c r="B26" s="3">
        <v>21</v>
      </c>
      <c r="C26" s="3">
        <v>53</v>
      </c>
      <c r="D26" s="4">
        <v>3.8289999999999999E-3</v>
      </c>
      <c r="E26" s="5">
        <v>0.01</v>
      </c>
      <c r="G26" t="s">
        <v>31</v>
      </c>
      <c r="H26" s="2">
        <v>90</v>
      </c>
      <c r="I26" t="s">
        <v>32</v>
      </c>
    </row>
    <row r="27" spans="2:9" x14ac:dyDescent="0.25">
      <c r="B27" s="3">
        <v>22</v>
      </c>
      <c r="C27" s="3">
        <v>54</v>
      </c>
      <c r="D27" s="4">
        <v>4.1310000000000001E-3</v>
      </c>
      <c r="E27" s="5">
        <v>0.01</v>
      </c>
      <c r="G27" t="s">
        <v>33</v>
      </c>
      <c r="H27" s="2">
        <v>20</v>
      </c>
      <c r="I27" t="s">
        <v>34</v>
      </c>
    </row>
    <row r="28" spans="2:9" x14ac:dyDescent="0.25">
      <c r="B28" s="3">
        <v>23</v>
      </c>
      <c r="C28" s="3">
        <v>55</v>
      </c>
      <c r="D28" s="4">
        <v>4.4651999999999999E-3</v>
      </c>
      <c r="E28" s="5">
        <v>0.01</v>
      </c>
      <c r="G28" t="s">
        <v>35</v>
      </c>
      <c r="H28" s="7">
        <v>0.4</v>
      </c>
      <c r="I28" t="s">
        <v>36</v>
      </c>
    </row>
    <row r="29" spans="2:9" x14ac:dyDescent="0.25">
      <c r="B29" s="3">
        <v>24</v>
      </c>
      <c r="C29" s="3">
        <v>56</v>
      </c>
      <c r="D29" s="4">
        <v>4.8425999999999999E-3</v>
      </c>
      <c r="E29" s="5">
        <v>0.01</v>
      </c>
      <c r="G29" t="s">
        <v>37</v>
      </c>
      <c r="H29" s="8">
        <v>1.2500000000000001E-2</v>
      </c>
      <c r="I29" t="s">
        <v>38</v>
      </c>
    </row>
    <row r="30" spans="2:9" x14ac:dyDescent="0.25">
      <c r="B30" s="3">
        <v>25</v>
      </c>
      <c r="C30" s="3">
        <v>57</v>
      </c>
      <c r="D30" s="4">
        <v>5.2982000000000003E-3</v>
      </c>
      <c r="E30" s="5">
        <v>0.01</v>
      </c>
    </row>
    <row r="31" spans="2:9" x14ac:dyDescent="0.25">
      <c r="B31" s="3">
        <v>26</v>
      </c>
      <c r="C31" s="3">
        <v>58</v>
      </c>
      <c r="D31" s="4">
        <v>5.8402000000000003E-3</v>
      </c>
      <c r="E31" s="5">
        <v>0</v>
      </c>
      <c r="G31" t="s">
        <v>39</v>
      </c>
    </row>
    <row r="32" spans="2:9" x14ac:dyDescent="0.25">
      <c r="B32" s="3">
        <v>27</v>
      </c>
      <c r="C32" s="3">
        <v>59</v>
      </c>
      <c r="D32" s="4">
        <v>6.4444999999999997E-3</v>
      </c>
      <c r="E32" s="5">
        <v>0</v>
      </c>
    </row>
    <row r="33" spans="2:5" x14ac:dyDescent="0.25">
      <c r="B33" s="3">
        <v>28</v>
      </c>
      <c r="C33" s="3">
        <v>60</v>
      </c>
      <c r="D33" s="4">
        <v>7.0933000000000003E-3</v>
      </c>
      <c r="E33" s="5">
        <v>0</v>
      </c>
    </row>
    <row r="34" spans="2:5" x14ac:dyDescent="0.25">
      <c r="B34" s="3">
        <v>29</v>
      </c>
      <c r="C34" s="3">
        <v>61</v>
      </c>
      <c r="D34" s="4">
        <v>7.7868E-3</v>
      </c>
      <c r="E34" s="5">
        <v>0</v>
      </c>
    </row>
    <row r="35" spans="2:5" x14ac:dyDescent="0.25">
      <c r="B35" s="3">
        <v>30</v>
      </c>
      <c r="C35" s="3">
        <v>62</v>
      </c>
      <c r="D35" s="4">
        <v>8.5348999999999998E-3</v>
      </c>
      <c r="E35" s="5">
        <v>0</v>
      </c>
    </row>
  </sheetData>
  <mergeCells count="4">
    <mergeCell ref="B3:B5"/>
    <mergeCell ref="C3:C5"/>
    <mergeCell ref="D3:D5"/>
    <mergeCell ref="E3:E5"/>
  </mergeCells>
  <printOptions gridLines="1" gridLinesSet="0"/>
  <pageMargins left="0.7" right="0.7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3"/>
  <sheetViews>
    <sheetView workbookViewId="0"/>
  </sheetViews>
  <sheetFormatPr defaultRowHeight="15" x14ac:dyDescent="0.25"/>
  <cols>
    <col min="1" max="1" width="6.28515625" style="45" bestFit="1" customWidth="1"/>
    <col min="2" max="2" width="6.5703125" style="45" bestFit="1" customWidth="1"/>
    <col min="3" max="3" width="9.140625" style="45"/>
    <col min="4" max="4" width="10.140625" style="45" customWidth="1"/>
    <col min="5" max="5" width="11.42578125" style="45" customWidth="1"/>
    <col min="6" max="6" width="9.85546875" style="45" customWidth="1"/>
    <col min="7" max="7" width="10.28515625" style="45" customWidth="1"/>
    <col min="8" max="8" width="9.140625" style="45"/>
    <col min="9" max="9" width="10.28515625" style="45" customWidth="1"/>
    <col min="10" max="10" width="11.42578125" style="45" customWidth="1"/>
    <col min="11" max="16384" width="9.140625" style="45"/>
  </cols>
  <sheetData>
    <row r="1" spans="1:10" x14ac:dyDescent="0.25">
      <c r="C1" s="90" t="s">
        <v>50</v>
      </c>
      <c r="D1" s="90"/>
      <c r="E1" s="90"/>
      <c r="F1" s="90" t="s">
        <v>50</v>
      </c>
      <c r="G1" s="90"/>
      <c r="H1" s="91" t="s">
        <v>40</v>
      </c>
      <c r="I1" s="91" t="s">
        <v>40</v>
      </c>
      <c r="J1" s="91" t="s">
        <v>50</v>
      </c>
    </row>
    <row r="2" spans="1:10" x14ac:dyDescent="0.25">
      <c r="C2" s="92" t="s">
        <v>113</v>
      </c>
      <c r="D2" s="92"/>
      <c r="E2" s="92"/>
      <c r="F2" s="92" t="s">
        <v>114</v>
      </c>
      <c r="G2" s="92"/>
      <c r="H2" s="92" t="s">
        <v>115</v>
      </c>
      <c r="I2" s="92"/>
      <c r="J2" s="92"/>
    </row>
    <row r="3" spans="1:10" s="51" customFormat="1" ht="33.75" x14ac:dyDescent="0.35">
      <c r="A3" s="61" t="s">
        <v>1</v>
      </c>
      <c r="B3" s="93" t="s">
        <v>116</v>
      </c>
      <c r="C3" s="61" t="s">
        <v>117</v>
      </c>
      <c r="D3" s="61" t="s">
        <v>118</v>
      </c>
      <c r="E3" s="61" t="s">
        <v>119</v>
      </c>
      <c r="F3" s="61" t="s">
        <v>120</v>
      </c>
      <c r="G3" s="61" t="s">
        <v>121</v>
      </c>
      <c r="H3" s="61" t="s">
        <v>122</v>
      </c>
      <c r="I3" s="61" t="s">
        <v>123</v>
      </c>
      <c r="J3" s="61" t="s">
        <v>124</v>
      </c>
    </row>
    <row r="4" spans="1:10" x14ac:dyDescent="0.25">
      <c r="A4" s="66">
        <v>1</v>
      </c>
      <c r="B4" s="66">
        <v>38</v>
      </c>
      <c r="C4" s="45">
        <f>'Q3 Base'!O9</f>
        <v>9.6179999999999996E-4</v>
      </c>
      <c r="D4" s="45">
        <f>'Q3 Base'!P9</f>
        <v>1.5579999999999999E-3</v>
      </c>
      <c r="E4" s="94">
        <f>'Q3 Base'!T6</f>
        <v>0.01</v>
      </c>
      <c r="F4" s="45">
        <f t="shared" ref="F4:F33" si="0">-LN(1-C4)</f>
        <v>9.6226282640810338E-4</v>
      </c>
      <c r="G4" s="45">
        <f t="shared" ref="G4:G33" si="1">-LN(1-D4)</f>
        <v>1.5592149440858479E-3</v>
      </c>
      <c r="H4" s="45">
        <f t="shared" ref="H4:H33" si="2">F4/($F4+$G4)*(1-EXP(-($F4+$G4)))</f>
        <v>9.6105068325639392E-4</v>
      </c>
      <c r="I4" s="45">
        <f t="shared" ref="I4:I33" si="3">G4/($F4+$G4)*(1-EXP(-($F4+$G4)))</f>
        <v>1.5572508323435585E-3</v>
      </c>
      <c r="J4" s="45">
        <f t="shared" ref="J4:J33" si="4">E4*(1-H4-I4)</f>
        <v>9.9748169848440007E-3</v>
      </c>
    </row>
    <row r="5" spans="1:10" x14ac:dyDescent="0.25">
      <c r="A5" s="66">
        <v>2</v>
      </c>
      <c r="B5" s="66">
        <v>39</v>
      </c>
      <c r="C5" s="45">
        <f>'Q3 Base'!O10</f>
        <v>1.0351E-3</v>
      </c>
      <c r="D5" s="45">
        <f>'Q3 Base'!P10</f>
        <v>1.6609999999999999E-3</v>
      </c>
      <c r="E5" s="94">
        <f>'Q3 Base'!T7</f>
        <v>0.01</v>
      </c>
      <c r="F5" s="45">
        <f t="shared" si="0"/>
        <v>1.0356360859719428E-3</v>
      </c>
      <c r="G5" s="45">
        <f t="shared" si="1"/>
        <v>1.6623809899280607E-3</v>
      </c>
      <c r="H5" s="45">
        <f t="shared" si="2"/>
        <v>1.0342402596530103E-3</v>
      </c>
      <c r="I5" s="45">
        <f t="shared" si="3"/>
        <v>1.6601404392469236E-3</v>
      </c>
      <c r="J5" s="45">
        <f t="shared" si="4"/>
        <v>9.9730561930110005E-3</v>
      </c>
    </row>
    <row r="6" spans="1:10" x14ac:dyDescent="0.25">
      <c r="A6" s="66">
        <v>3</v>
      </c>
      <c r="B6" s="66">
        <v>40</v>
      </c>
      <c r="C6" s="45">
        <f>'Q3 Base'!O11</f>
        <v>1.1165000000000001E-3</v>
      </c>
      <c r="D6" s="45">
        <f>'Q3 Base'!P11</f>
        <v>1.7730000000000001E-3</v>
      </c>
      <c r="E6" s="94">
        <f>'Q3 Base'!T8</f>
        <v>0.01</v>
      </c>
      <c r="F6" s="45">
        <f t="shared" si="0"/>
        <v>1.1171237504464366E-3</v>
      </c>
      <c r="G6" s="45">
        <f t="shared" si="1"/>
        <v>1.7745736247996166E-3</v>
      </c>
      <c r="H6" s="45">
        <f t="shared" si="2"/>
        <v>1.1155101142951564E-3</v>
      </c>
      <c r="I6" s="45">
        <f t="shared" si="3"/>
        <v>1.7720103312048462E-3</v>
      </c>
      <c r="J6" s="45">
        <f t="shared" si="4"/>
        <v>9.971124795545001E-3</v>
      </c>
    </row>
    <row r="7" spans="1:10" x14ac:dyDescent="0.25">
      <c r="A7" s="66">
        <v>4</v>
      </c>
      <c r="B7" s="66">
        <v>41</v>
      </c>
      <c r="C7" s="45">
        <f>'Q3 Base'!O12</f>
        <v>1.2099999999999999E-3</v>
      </c>
      <c r="D7" s="45">
        <f>'Q3 Base'!P12</f>
        <v>1.9070000000000001E-3</v>
      </c>
      <c r="E7" s="94">
        <f>'Q3 Base'!T9</f>
        <v>0.02</v>
      </c>
      <c r="F7" s="45">
        <f t="shared" si="0"/>
        <v>1.2107326410567942E-3</v>
      </c>
      <c r="G7" s="45">
        <f t="shared" si="1"/>
        <v>1.9088206395078957E-3</v>
      </c>
      <c r="H7" s="45">
        <f t="shared" si="2"/>
        <v>1.2088461307653109E-3</v>
      </c>
      <c r="I7" s="45">
        <f t="shared" si="3"/>
        <v>1.9058463992347628E-3</v>
      </c>
      <c r="J7" s="45">
        <f t="shared" si="4"/>
        <v>1.9937706149399999E-2</v>
      </c>
    </row>
    <row r="8" spans="1:10" x14ac:dyDescent="0.25">
      <c r="A8" s="66">
        <v>5</v>
      </c>
      <c r="B8" s="66">
        <v>42</v>
      </c>
      <c r="C8" s="45">
        <f>'Q3 Base'!O13</f>
        <v>1.3125000000000001E-3</v>
      </c>
      <c r="D8" s="45">
        <f>'Q3 Base'!P13</f>
        <v>2.0600000000000002E-3</v>
      </c>
      <c r="E8" s="94">
        <f>'Q3 Base'!T10</f>
        <v>0.02</v>
      </c>
      <c r="F8" s="45">
        <f t="shared" si="0"/>
        <v>1.3133620825298252E-3</v>
      </c>
      <c r="G8" s="45">
        <f t="shared" si="1"/>
        <v>2.0621247184480847E-3</v>
      </c>
      <c r="H8" s="45">
        <f t="shared" si="2"/>
        <v>1.3111479562944854E-3</v>
      </c>
      <c r="I8" s="45">
        <f t="shared" si="3"/>
        <v>2.0586482937055158E-3</v>
      </c>
      <c r="J8" s="45">
        <f t="shared" si="4"/>
        <v>1.9932604074999999E-2</v>
      </c>
    </row>
    <row r="9" spans="1:10" x14ac:dyDescent="0.25">
      <c r="A9" s="66">
        <v>6</v>
      </c>
      <c r="B9" s="66">
        <v>43</v>
      </c>
      <c r="C9" s="45">
        <f>'Q3 Base'!O14</f>
        <v>1.4291E-3</v>
      </c>
      <c r="D9" s="45">
        <f>'Q3 Base'!P14</f>
        <v>2.235E-3</v>
      </c>
      <c r="E9" s="94">
        <f>'Q3 Base'!T11</f>
        <v>0.02</v>
      </c>
      <c r="F9" s="45">
        <f t="shared" si="0"/>
        <v>1.4301221373453439E-3</v>
      </c>
      <c r="G9" s="45">
        <f t="shared" si="1"/>
        <v>2.2375013401918545E-3</v>
      </c>
      <c r="H9" s="45">
        <f t="shared" si="2"/>
        <v>1.4275027658499568E-3</v>
      </c>
      <c r="I9" s="45">
        <f t="shared" si="3"/>
        <v>2.2334031956499707E-3</v>
      </c>
      <c r="J9" s="45">
        <f t="shared" si="4"/>
        <v>1.9926781880770003E-2</v>
      </c>
    </row>
    <row r="10" spans="1:10" x14ac:dyDescent="0.25">
      <c r="A10" s="66">
        <v>7</v>
      </c>
      <c r="B10" s="66">
        <v>44</v>
      </c>
      <c r="C10" s="45">
        <f>'Q3 Base'!O15</f>
        <v>1.5577E-3</v>
      </c>
      <c r="D10" s="45">
        <f>'Q3 Base'!P15</f>
        <v>2.4290000000000002E-3</v>
      </c>
      <c r="E10" s="94">
        <f>'Q3 Base'!T12</f>
        <v>0.03</v>
      </c>
      <c r="F10" s="45">
        <f t="shared" si="0"/>
        <v>1.5589144760016899E-3</v>
      </c>
      <c r="G10" s="45">
        <f t="shared" si="1"/>
        <v>2.4319548062861104E-3</v>
      </c>
      <c r="H10" s="45">
        <f t="shared" si="2"/>
        <v>1.555807898076538E-3</v>
      </c>
      <c r="I10" s="45">
        <f t="shared" si="3"/>
        <v>2.4271084486234677E-3</v>
      </c>
      <c r="J10" s="45">
        <f t="shared" si="4"/>
        <v>2.9880512509599E-2</v>
      </c>
    </row>
    <row r="11" spans="1:10" x14ac:dyDescent="0.25">
      <c r="A11" s="66">
        <v>8</v>
      </c>
      <c r="B11" s="66">
        <v>45</v>
      </c>
      <c r="C11" s="45">
        <f>'Q3 Base'!O16</f>
        <v>1.7003999999999999E-3</v>
      </c>
      <c r="D11" s="45">
        <f>'Q3 Base'!P16</f>
        <v>2.6340000000000001E-3</v>
      </c>
      <c r="E11" s="94">
        <f>'Q3 Base'!T13</f>
        <v>0.03</v>
      </c>
      <c r="F11" s="45">
        <f t="shared" si="0"/>
        <v>1.7018473209958231E-3</v>
      </c>
      <c r="G11" s="45">
        <f t="shared" si="1"/>
        <v>2.6374750815846152E-3</v>
      </c>
      <c r="H11" s="45">
        <f t="shared" si="2"/>
        <v>1.6981602239884573E-3</v>
      </c>
      <c r="I11" s="45">
        <f t="shared" si="3"/>
        <v>2.6317609224116158E-3</v>
      </c>
      <c r="J11" s="45">
        <f t="shared" si="4"/>
        <v>2.9870102365607998E-2</v>
      </c>
    </row>
    <row r="12" spans="1:10" x14ac:dyDescent="0.25">
      <c r="A12" s="66">
        <v>9</v>
      </c>
      <c r="B12" s="66">
        <v>46</v>
      </c>
      <c r="C12" s="45">
        <f>'Q3 Base'!O17</f>
        <v>1.8582E-3</v>
      </c>
      <c r="D12" s="45">
        <f>'Q3 Base'!P17</f>
        <v>2.8389999999999999E-3</v>
      </c>
      <c r="E12" s="94">
        <f>'Q3 Base'!T14</f>
        <v>0.03</v>
      </c>
      <c r="F12" s="45">
        <f t="shared" si="0"/>
        <v>1.8599285953358564E-3</v>
      </c>
      <c r="G12" s="45">
        <f t="shared" si="1"/>
        <v>2.843037604149497E-3</v>
      </c>
      <c r="H12" s="45">
        <f t="shared" si="2"/>
        <v>1.8555618529065684E-3</v>
      </c>
      <c r="I12" s="45">
        <f t="shared" si="3"/>
        <v>2.8363627172934996E-3</v>
      </c>
      <c r="J12" s="45">
        <f t="shared" si="4"/>
        <v>2.9859242262893996E-2</v>
      </c>
    </row>
    <row r="13" spans="1:10" x14ac:dyDescent="0.25">
      <c r="A13" s="66">
        <v>10</v>
      </c>
      <c r="B13" s="66">
        <v>47</v>
      </c>
      <c r="C13" s="45">
        <f>'Q3 Base'!O18</f>
        <v>2.0311000000000001E-3</v>
      </c>
      <c r="D13" s="45">
        <f>'Q3 Base'!P18</f>
        <v>3.065E-3</v>
      </c>
      <c r="E13" s="94">
        <f>'Q3 Base'!T15</f>
        <v>0.04</v>
      </c>
      <c r="F13" s="45">
        <f t="shared" si="0"/>
        <v>2.0331654808776545E-3</v>
      </c>
      <c r="G13" s="45">
        <f t="shared" si="1"/>
        <v>3.0697067323836287E-3</v>
      </c>
      <c r="H13" s="45">
        <f t="shared" si="2"/>
        <v>2.0279868015165431E-3</v>
      </c>
      <c r="I13" s="45">
        <f t="shared" si="3"/>
        <v>3.0618878769834296E-3</v>
      </c>
      <c r="J13" s="45">
        <f t="shared" si="4"/>
        <v>3.9796405012860005E-2</v>
      </c>
    </row>
    <row r="14" spans="1:10" x14ac:dyDescent="0.25">
      <c r="A14" s="66">
        <v>11</v>
      </c>
      <c r="B14" s="66">
        <v>48</v>
      </c>
      <c r="C14" s="45">
        <f>'Q3 Base'!O19</f>
        <v>2.2179999999999999E-3</v>
      </c>
      <c r="D14" s="45">
        <f>'Q3 Base'!P19</f>
        <v>3.3110000000000001E-3</v>
      </c>
      <c r="E14" s="94">
        <f>'Q3 Base'!T16</f>
        <v>0.04</v>
      </c>
      <c r="F14" s="45">
        <f t="shared" si="0"/>
        <v>2.2204634052293156E-3</v>
      </c>
      <c r="G14" s="45">
        <f t="shared" si="1"/>
        <v>3.3164934898148135E-3</v>
      </c>
      <c r="H14" s="45">
        <f t="shared" si="2"/>
        <v>2.2143274302482501E-3</v>
      </c>
      <c r="I14" s="45">
        <f t="shared" si="3"/>
        <v>3.3073287717517081E-3</v>
      </c>
      <c r="J14" s="45">
        <f t="shared" si="4"/>
        <v>3.977913375192E-2</v>
      </c>
    </row>
    <row r="15" spans="1:10" x14ac:dyDescent="0.25">
      <c r="A15" s="66">
        <v>12</v>
      </c>
      <c r="B15" s="66">
        <v>49</v>
      </c>
      <c r="C15" s="45">
        <f>'Q3 Base'!O20</f>
        <v>2.4190000000000001E-3</v>
      </c>
      <c r="D15" s="45">
        <f>'Q3 Base'!P20</f>
        <v>3.588E-3</v>
      </c>
      <c r="E15" s="94">
        <f>'Q3 Base'!T17</f>
        <v>0.04</v>
      </c>
      <c r="F15" s="45">
        <f t="shared" si="0"/>
        <v>2.4219305073854259E-3</v>
      </c>
      <c r="G15" s="45">
        <f t="shared" si="1"/>
        <v>3.5944523105504679E-3</v>
      </c>
      <c r="H15" s="45">
        <f t="shared" si="2"/>
        <v>2.4146594659374731E-3</v>
      </c>
      <c r="I15" s="45">
        <f t="shared" si="3"/>
        <v>3.5836611620625142E-3</v>
      </c>
      <c r="J15" s="45">
        <f t="shared" si="4"/>
        <v>3.9760067174880002E-2</v>
      </c>
    </row>
    <row r="16" spans="1:10" x14ac:dyDescent="0.25">
      <c r="A16" s="66">
        <v>13</v>
      </c>
      <c r="B16" s="66">
        <v>50</v>
      </c>
      <c r="C16" s="45">
        <f>'Q3 Base'!O21</f>
        <v>2.6331000000000002E-3</v>
      </c>
      <c r="D16" s="45">
        <f>'Q3 Base'!P21</f>
        <v>3.875E-3</v>
      </c>
      <c r="E16" s="94">
        <f>'Q3 Base'!T18</f>
        <v>0.05</v>
      </c>
      <c r="F16" s="45">
        <f t="shared" si="0"/>
        <v>2.6365727051311356E-3</v>
      </c>
      <c r="G16" s="45">
        <f t="shared" si="1"/>
        <v>3.8825272642248063E-3</v>
      </c>
      <c r="H16" s="45">
        <f t="shared" si="2"/>
        <v>2.6279973093503214E-3</v>
      </c>
      <c r="I16" s="45">
        <f t="shared" si="3"/>
        <v>3.8698994281496876E-3</v>
      </c>
      <c r="J16" s="45">
        <f t="shared" si="4"/>
        <v>4.9675105163125004E-2</v>
      </c>
    </row>
    <row r="17" spans="1:10" x14ac:dyDescent="0.25">
      <c r="A17" s="66">
        <v>14</v>
      </c>
      <c r="B17" s="66">
        <v>51</v>
      </c>
      <c r="C17" s="45">
        <f>'Q3 Base'!O22</f>
        <v>2.8571999999999998E-3</v>
      </c>
      <c r="D17" s="45">
        <f>'Q3 Base'!P22</f>
        <v>4.2030000000000001E-3</v>
      </c>
      <c r="E17" s="94">
        <f>'Q3 Base'!T19</f>
        <v>0.05</v>
      </c>
      <c r="F17" s="45">
        <f t="shared" si="0"/>
        <v>2.8612895876241047E-3</v>
      </c>
      <c r="G17" s="45">
        <f t="shared" si="1"/>
        <v>4.2118574317359068E-3</v>
      </c>
      <c r="H17" s="45">
        <f t="shared" si="2"/>
        <v>2.8511942426410154E-3</v>
      </c>
      <c r="I17" s="45">
        <f t="shared" si="3"/>
        <v>4.1969969457589284E-3</v>
      </c>
      <c r="J17" s="45">
        <f t="shared" si="4"/>
        <v>4.9647590440580008E-2</v>
      </c>
    </row>
    <row r="18" spans="1:10" x14ac:dyDescent="0.25">
      <c r="A18" s="66">
        <v>15</v>
      </c>
      <c r="B18" s="66">
        <v>52</v>
      </c>
      <c r="C18" s="45">
        <f>'Q3 Base'!O23</f>
        <v>3.0872999999999999E-3</v>
      </c>
      <c r="D18" s="45">
        <f>'Q3 Base'!P23</f>
        <v>4.561E-3</v>
      </c>
      <c r="E18" s="94">
        <f>'Q3 Base'!T20</f>
        <v>0.05</v>
      </c>
      <c r="F18" s="45">
        <f t="shared" si="0"/>
        <v>3.0920755421989022E-3</v>
      </c>
      <c r="G18" s="45">
        <f t="shared" si="1"/>
        <v>4.5714330961547619E-3</v>
      </c>
      <c r="H18" s="45">
        <f t="shared" si="2"/>
        <v>3.0802576764264772E-3</v>
      </c>
      <c r="I18" s="45">
        <f t="shared" si="3"/>
        <v>4.5539611482735788E-3</v>
      </c>
      <c r="J18" s="45">
        <f t="shared" si="4"/>
        <v>4.9618289058765003E-2</v>
      </c>
    </row>
    <row r="19" spans="1:10" x14ac:dyDescent="0.25">
      <c r="A19" s="66">
        <v>16</v>
      </c>
      <c r="B19" s="66">
        <v>53</v>
      </c>
      <c r="C19" s="45">
        <f>'Q3 Base'!O24</f>
        <v>3.3205000000000001E-3</v>
      </c>
      <c r="D19" s="45">
        <f>'Q3 Base'!P24</f>
        <v>4.9509999999999997E-3</v>
      </c>
      <c r="E19" s="94">
        <f>'Q3 Base'!T21</f>
        <v>0.06</v>
      </c>
      <c r="F19" s="45">
        <f t="shared" si="0"/>
        <v>3.3260250942322282E-3</v>
      </c>
      <c r="G19" s="45">
        <f t="shared" si="1"/>
        <v>4.9632968049443749E-3</v>
      </c>
      <c r="H19" s="45">
        <f t="shared" si="2"/>
        <v>3.3122778592169274E-3</v>
      </c>
      <c r="I19" s="45">
        <f t="shared" si="3"/>
        <v>4.9427823452830259E-3</v>
      </c>
      <c r="J19" s="45">
        <f t="shared" si="4"/>
        <v>5.9504696387730004E-2</v>
      </c>
    </row>
    <row r="20" spans="1:10" x14ac:dyDescent="0.25">
      <c r="A20" s="66">
        <v>17</v>
      </c>
      <c r="B20" s="66">
        <v>54</v>
      </c>
      <c r="C20" s="45">
        <f>'Q3 Base'!O25</f>
        <v>3.5536999999999999E-3</v>
      </c>
      <c r="D20" s="45">
        <f>'Q3 Base'!P25</f>
        <v>5.3709999999999999E-3</v>
      </c>
      <c r="E20" s="94">
        <f>'Q3 Base'!T22</f>
        <v>0.06</v>
      </c>
      <c r="F20" s="45">
        <f t="shared" si="0"/>
        <v>3.5600293914664271E-3</v>
      </c>
      <c r="G20" s="45">
        <f t="shared" si="1"/>
        <v>5.3854756763378371E-3</v>
      </c>
      <c r="H20" s="45">
        <f t="shared" si="2"/>
        <v>3.54415363513932E-3</v>
      </c>
      <c r="I20" s="45">
        <f t="shared" si="3"/>
        <v>5.3614594421606569E-3</v>
      </c>
      <c r="J20" s="45">
        <f t="shared" si="4"/>
        <v>5.9465663215362001E-2</v>
      </c>
    </row>
    <row r="21" spans="1:10" x14ac:dyDescent="0.25">
      <c r="A21" s="66">
        <v>18</v>
      </c>
      <c r="B21" s="66">
        <v>55</v>
      </c>
      <c r="C21" s="45">
        <f>'Q3 Base'!O26</f>
        <v>3.7797999999999998E-3</v>
      </c>
      <c r="D21" s="45">
        <f>'Q3 Base'!P26</f>
        <v>5.7910000000000001E-3</v>
      </c>
      <c r="E21" s="94">
        <f>'Q3 Base'!T23</f>
        <v>0.06</v>
      </c>
      <c r="F21" s="45">
        <f t="shared" si="0"/>
        <v>3.7869614957300539E-3</v>
      </c>
      <c r="G21" s="45">
        <f t="shared" si="1"/>
        <v>5.8078328580122331E-3</v>
      </c>
      <c r="H21" s="45">
        <f t="shared" si="2"/>
        <v>3.7688519028951976E-3</v>
      </c>
      <c r="I21" s="45">
        <f t="shared" si="3"/>
        <v>5.7800592753048056E-3</v>
      </c>
      <c r="J21" s="45">
        <f t="shared" si="4"/>
        <v>5.9427065329307999E-2</v>
      </c>
    </row>
    <row r="22" spans="1:10" x14ac:dyDescent="0.25">
      <c r="A22" s="66">
        <v>19</v>
      </c>
      <c r="B22" s="66">
        <v>56</v>
      </c>
      <c r="C22" s="45">
        <f>'Q3 Base'!O27</f>
        <v>3.9908000000000001E-3</v>
      </c>
      <c r="D22" s="45">
        <f>'Q3 Base'!P27</f>
        <v>6.2220000000000001E-3</v>
      </c>
      <c r="E22" s="94">
        <f>'Q3 Base'!T24</f>
        <v>7.0000000000000007E-2</v>
      </c>
      <c r="F22" s="45">
        <f t="shared" si="0"/>
        <v>3.9987844924079538E-3</v>
      </c>
      <c r="G22" s="45">
        <f t="shared" si="1"/>
        <v>6.2414373099052818E-3</v>
      </c>
      <c r="H22" s="45">
        <f t="shared" si="2"/>
        <v>3.978379980640186E-3</v>
      </c>
      <c r="I22" s="45">
        <f t="shared" si="3"/>
        <v>6.2095892617597664E-3</v>
      </c>
      <c r="J22" s="45">
        <f t="shared" si="4"/>
        <v>6.9286842153032005E-2</v>
      </c>
    </row>
    <row r="23" spans="1:10" x14ac:dyDescent="0.25">
      <c r="A23" s="66">
        <v>20</v>
      </c>
      <c r="B23" s="66">
        <v>57</v>
      </c>
      <c r="C23" s="45">
        <f>'Q3 Base'!O28</f>
        <v>4.1808000000000001E-3</v>
      </c>
      <c r="D23" s="45">
        <f>'Q3 Base'!P28</f>
        <v>6.6730000000000001E-3</v>
      </c>
      <c r="E23" s="94">
        <f>'Q3 Base'!T25</f>
        <v>7.0000000000000007E-2</v>
      </c>
      <c r="F23" s="45">
        <f t="shared" si="0"/>
        <v>4.1895639798139039E-3</v>
      </c>
      <c r="G23" s="45">
        <f t="shared" si="1"/>
        <v>6.695364010048571E-3</v>
      </c>
      <c r="H23" s="45">
        <f t="shared" si="2"/>
        <v>4.1668449351387011E-3</v>
      </c>
      <c r="I23" s="45">
        <f t="shared" si="3"/>
        <v>6.6590565864613101E-3</v>
      </c>
      <c r="J23" s="45">
        <f t="shared" si="4"/>
        <v>6.9242186893488003E-2</v>
      </c>
    </row>
    <row r="24" spans="1:10" x14ac:dyDescent="0.25">
      <c r="A24" s="66">
        <v>21</v>
      </c>
      <c r="B24" s="66">
        <v>58</v>
      </c>
      <c r="C24" s="45">
        <f>'Q3 Base'!O29</f>
        <v>4.3375999999999996E-3</v>
      </c>
      <c r="D24" s="45">
        <f>'Q3 Base'!P29</f>
        <v>7.1339999999999997E-3</v>
      </c>
      <c r="E24" s="94">
        <f>'Q3 Base'!T26</f>
        <v>7.0000000000000007E-2</v>
      </c>
      <c r="F24" s="45">
        <f t="shared" si="0"/>
        <v>4.3470346793414135E-3</v>
      </c>
      <c r="G24" s="45">
        <f t="shared" si="1"/>
        <v>7.1595686550938271E-3</v>
      </c>
      <c r="H24" s="45">
        <f t="shared" si="2"/>
        <v>4.3221205281181634E-3</v>
      </c>
      <c r="I24" s="45">
        <f t="shared" si="3"/>
        <v>7.118535033481848E-3</v>
      </c>
      <c r="J24" s="45">
        <f t="shared" si="4"/>
        <v>6.9199154110687999E-2</v>
      </c>
    </row>
    <row r="25" spans="1:10" x14ac:dyDescent="0.25">
      <c r="A25" s="66">
        <v>22</v>
      </c>
      <c r="B25" s="66">
        <v>59</v>
      </c>
      <c r="C25" s="45">
        <f>'Q3 Base'!O30</f>
        <v>4.4470999999999998E-3</v>
      </c>
      <c r="D25" s="45">
        <f>'Q3 Base'!P30</f>
        <v>7.6880000000000004E-3</v>
      </c>
      <c r="E25" s="94">
        <f>'Q3 Base'!T27</f>
        <v>0.08</v>
      </c>
      <c r="F25" s="45">
        <f t="shared" si="0"/>
        <v>4.4570177636521491E-3</v>
      </c>
      <c r="G25" s="45">
        <f t="shared" si="1"/>
        <v>7.7177050180614994E-3</v>
      </c>
      <c r="H25" s="45">
        <f t="shared" si="2"/>
        <v>4.4299960575597888E-3</v>
      </c>
      <c r="I25" s="45">
        <f t="shared" si="3"/>
        <v>7.6709146376402401E-3</v>
      </c>
      <c r="J25" s="45">
        <f t="shared" si="4"/>
        <v>7.9031927144383993E-2</v>
      </c>
    </row>
    <row r="26" spans="1:10" x14ac:dyDescent="0.25">
      <c r="A26" s="66">
        <v>23</v>
      </c>
      <c r="B26" s="66">
        <v>60</v>
      </c>
      <c r="C26" s="45">
        <f>'Q3 Base'!O31</f>
        <v>4.5656999999999998E-3</v>
      </c>
      <c r="D26" s="45">
        <f>'Q3 Base'!P31</f>
        <v>8.2819999999999994E-3</v>
      </c>
      <c r="E26" s="94">
        <f>'Q3 Base'!T28</f>
        <v>0.08</v>
      </c>
      <c r="F26" s="45">
        <f t="shared" si="0"/>
        <v>4.5761546422219846E-3</v>
      </c>
      <c r="G26" s="45">
        <f t="shared" si="1"/>
        <v>8.3164863043804216E-3</v>
      </c>
      <c r="H26" s="45">
        <f t="shared" si="2"/>
        <v>4.546781650181222E-3</v>
      </c>
      <c r="I26" s="45">
        <f t="shared" si="3"/>
        <v>8.263105222418762E-3</v>
      </c>
      <c r="J26" s="45">
        <f t="shared" si="4"/>
        <v>7.8975209050192008E-2</v>
      </c>
    </row>
    <row r="27" spans="1:10" x14ac:dyDescent="0.25">
      <c r="A27" s="66">
        <v>24</v>
      </c>
      <c r="B27" s="66">
        <v>61</v>
      </c>
      <c r="C27" s="45">
        <f>'Q3 Base'!O32</f>
        <v>4.7686999999999998E-3</v>
      </c>
      <c r="D27" s="45">
        <f>'Q3 Base'!P32</f>
        <v>8.9789999999999991E-3</v>
      </c>
      <c r="E27" s="94">
        <f>'Q3 Base'!T29</f>
        <v>0.08</v>
      </c>
      <c r="F27" s="45">
        <f t="shared" si="0"/>
        <v>4.7801065271630069E-3</v>
      </c>
      <c r="G27" s="45">
        <f t="shared" si="1"/>
        <v>9.019554160221049E-3</v>
      </c>
      <c r="H27" s="45">
        <f t="shared" si="2"/>
        <v>4.747275794264926E-3</v>
      </c>
      <c r="I27" s="45">
        <f t="shared" si="3"/>
        <v>8.9576060484349851E-3</v>
      </c>
      <c r="J27" s="45">
        <f t="shared" si="4"/>
        <v>7.8903609452584011E-2</v>
      </c>
    </row>
    <row r="28" spans="1:10" x14ac:dyDescent="0.25">
      <c r="A28" s="66">
        <v>25</v>
      </c>
      <c r="B28" s="66">
        <v>62</v>
      </c>
      <c r="C28" s="45">
        <f>'Q3 Base'!O33</f>
        <v>5.0309999999999999E-3</v>
      </c>
      <c r="D28" s="45">
        <f>'Q3 Base'!P33</f>
        <v>9.8300000000000002E-3</v>
      </c>
      <c r="E28" s="94">
        <f>'Q3 Base'!T30</f>
        <v>0.09</v>
      </c>
      <c r="F28" s="45">
        <f t="shared" si="0"/>
        <v>5.0436980877901225E-3</v>
      </c>
      <c r="G28" s="45">
        <f t="shared" si="1"/>
        <v>9.8786334234902268E-3</v>
      </c>
      <c r="H28" s="45">
        <f t="shared" si="2"/>
        <v>5.0062527091724145E-3</v>
      </c>
      <c r="I28" s="45">
        <f t="shared" si="3"/>
        <v>9.8052925608276467E-3</v>
      </c>
      <c r="J28" s="45">
        <f t="shared" si="4"/>
        <v>8.8666960925699992E-2</v>
      </c>
    </row>
    <row r="29" spans="1:10" x14ac:dyDescent="0.25">
      <c r="A29" s="66">
        <v>26</v>
      </c>
      <c r="B29" s="66">
        <v>63</v>
      </c>
      <c r="C29" s="45">
        <f>'Q3 Base'!O34</f>
        <v>5.3596E-3</v>
      </c>
      <c r="D29" s="45">
        <f>'Q3 Base'!P34</f>
        <v>1.0773E-2</v>
      </c>
      <c r="E29" s="94">
        <f>'Q3 Base'!T31</f>
        <v>0.09</v>
      </c>
      <c r="F29" s="45">
        <f t="shared" si="0"/>
        <v>5.3740141819820508E-3</v>
      </c>
      <c r="G29" s="45">
        <f t="shared" si="1"/>
        <v>1.0831448923708208E-2</v>
      </c>
      <c r="H29" s="45">
        <f t="shared" si="2"/>
        <v>5.3307042557752485E-3</v>
      </c>
      <c r="I29" s="45">
        <f t="shared" si="3"/>
        <v>1.0744156773424834E-2</v>
      </c>
      <c r="J29" s="45">
        <f t="shared" si="4"/>
        <v>8.8553262507371985E-2</v>
      </c>
    </row>
    <row r="30" spans="1:10" x14ac:dyDescent="0.25">
      <c r="A30" s="66">
        <v>27</v>
      </c>
      <c r="B30" s="66">
        <v>64</v>
      </c>
      <c r="C30" s="45">
        <f>'Q3 Base'!O35</f>
        <v>5.7637000000000001E-3</v>
      </c>
      <c r="D30" s="45">
        <f>'Q3 Base'!P35</f>
        <v>1.1797999999999999E-2</v>
      </c>
      <c r="E30" s="94">
        <f>'Q3 Base'!T32</f>
        <v>0.09</v>
      </c>
      <c r="F30" s="45">
        <f t="shared" si="0"/>
        <v>5.7803742198473639E-3</v>
      </c>
      <c r="G30" s="45">
        <f t="shared" si="1"/>
        <v>1.1868148690730131E-2</v>
      </c>
      <c r="H30" s="45">
        <f t="shared" si="2"/>
        <v>5.729665436344295E-3</v>
      </c>
      <c r="I30" s="45">
        <f t="shared" si="3"/>
        <v>1.176403443105572E-2</v>
      </c>
      <c r="J30" s="45">
        <f t="shared" si="4"/>
        <v>8.8425567011933992E-2</v>
      </c>
    </row>
    <row r="31" spans="1:10" x14ac:dyDescent="0.25">
      <c r="A31" s="66">
        <v>28</v>
      </c>
      <c r="B31" s="66">
        <v>65</v>
      </c>
      <c r="C31" s="45">
        <f>'Q3 Base'!O36</f>
        <v>6.2521E-3</v>
      </c>
      <c r="D31" s="45">
        <f>'Q3 Base'!P36</f>
        <v>1.2936E-2</v>
      </c>
      <c r="E31" s="94">
        <f>'Q3 Base'!T33</f>
        <v>0.1</v>
      </c>
      <c r="F31" s="45">
        <f t="shared" si="0"/>
        <v>6.2717262233753747E-3</v>
      </c>
      <c r="G31" s="45">
        <f t="shared" si="1"/>
        <v>1.3020398692409191E-2</v>
      </c>
      <c r="H31" s="45">
        <f t="shared" si="2"/>
        <v>6.2116159328999086E-3</v>
      </c>
      <c r="I31" s="45">
        <f t="shared" si="3"/>
        <v>1.2895606901500009E-2</v>
      </c>
      <c r="J31" s="45">
        <f t="shared" si="4"/>
        <v>9.8089277716560008E-2</v>
      </c>
    </row>
    <row r="32" spans="1:10" x14ac:dyDescent="0.25">
      <c r="A32" s="66">
        <v>29</v>
      </c>
      <c r="B32" s="66">
        <v>66</v>
      </c>
      <c r="C32" s="45">
        <f>'Q3 Base'!O37</f>
        <v>6.8279999999999999E-3</v>
      </c>
      <c r="D32" s="45">
        <f>'Q3 Base'!P37</f>
        <v>1.2678999999999999E-2</v>
      </c>
      <c r="E32" s="94">
        <f>'Q3 Base'!T34</f>
        <v>0.1</v>
      </c>
      <c r="F32" s="45">
        <f t="shared" si="0"/>
        <v>6.8514174491033711E-3</v>
      </c>
      <c r="G32" s="45">
        <f t="shared" si="1"/>
        <v>1.276006446027975E-2</v>
      </c>
      <c r="H32" s="45">
        <f t="shared" si="2"/>
        <v>6.7846712670954837E-3</v>
      </c>
      <c r="I32" s="45">
        <f t="shared" si="3"/>
        <v>1.2635756520904423E-2</v>
      </c>
      <c r="J32" s="45">
        <f t="shared" si="4"/>
        <v>9.8057957221200018E-2</v>
      </c>
    </row>
    <row r="33" spans="1:10" x14ac:dyDescent="0.25">
      <c r="A33" s="66">
        <v>30</v>
      </c>
      <c r="B33" s="66">
        <v>67</v>
      </c>
      <c r="C33" s="45">
        <f>'Q3 Base'!O38</f>
        <v>7.4973000000000001E-3</v>
      </c>
      <c r="D33" s="45">
        <f>'Q3 Base'!P38</f>
        <v>1.4063000000000001E-2</v>
      </c>
      <c r="E33" s="94">
        <f>'Q3 Base'!T35</f>
        <v>0.1</v>
      </c>
      <c r="F33" s="45">
        <f t="shared" si="0"/>
        <v>7.5255460214692337E-3</v>
      </c>
      <c r="G33" s="45">
        <f t="shared" si="1"/>
        <v>1.4162820944170266E-2</v>
      </c>
      <c r="H33" s="45">
        <f t="shared" si="2"/>
        <v>7.4445244188032752E-3</v>
      </c>
      <c r="I33" s="45">
        <f t="shared" si="3"/>
        <v>1.4010341051296839E-2</v>
      </c>
      <c r="J33" s="45">
        <f t="shared" si="4"/>
        <v>9.7854513452989997E-2</v>
      </c>
    </row>
  </sheetData>
  <mergeCells count="5">
    <mergeCell ref="C1:E1"/>
    <mergeCell ref="F1:G1"/>
    <mergeCell ref="C2:E2"/>
    <mergeCell ref="F2:G2"/>
    <mergeCell ref="H2:J2"/>
  </mergeCells>
  <printOptions gridLines="1" gridLinesSet="0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C589-EC81-4380-9246-7422B8BBE7A3}">
  <dimension ref="A1:Q38"/>
  <sheetViews>
    <sheetView workbookViewId="0">
      <selection activeCell="I9" sqref="I9"/>
    </sheetView>
  </sheetViews>
  <sheetFormatPr defaultRowHeight="15" x14ac:dyDescent="0.25"/>
  <cols>
    <col min="1" max="1" width="12.5703125" style="45" bestFit="1" customWidth="1"/>
    <col min="2" max="2" width="11" style="45" bestFit="1" customWidth="1"/>
    <col min="3" max="4" width="9.140625" style="45"/>
    <col min="5" max="5" width="11.5703125" style="45" bestFit="1" customWidth="1"/>
    <col min="6" max="6" width="11.5703125" style="45" customWidth="1"/>
    <col min="7" max="7" width="11.28515625" style="45" customWidth="1"/>
    <col min="8" max="9" width="10.5703125" style="45" customWidth="1"/>
    <col min="10" max="10" width="12.140625" style="45" customWidth="1"/>
    <col min="11" max="11" width="9.5703125" style="45" customWidth="1"/>
    <col min="12" max="13" width="10.28515625" style="45" customWidth="1"/>
    <col min="14" max="14" width="11.5703125" style="45" bestFit="1" customWidth="1"/>
    <col min="15" max="15" width="9.140625" style="45"/>
    <col min="16" max="16" width="11.5703125" style="45" bestFit="1" customWidth="1"/>
    <col min="17" max="16384" width="9.140625" style="45"/>
  </cols>
  <sheetData>
    <row r="1" spans="1:17" x14ac:dyDescent="0.25">
      <c r="A1" s="45" t="s">
        <v>125</v>
      </c>
      <c r="B1" s="95">
        <v>5.5E-2</v>
      </c>
      <c r="O1" s="96" t="s">
        <v>126</v>
      </c>
      <c r="P1" s="75">
        <f>SUM(N9:N39)</f>
        <v>7328.36545335138</v>
      </c>
      <c r="Q1" s="44" t="s">
        <v>40</v>
      </c>
    </row>
    <row r="2" spans="1:17" ht="17.25" x14ac:dyDescent="0.25">
      <c r="A2" s="97" t="s">
        <v>211</v>
      </c>
      <c r="B2" s="98">
        <f>(1-(1-B1/(1+B1))^(1/12))*12</f>
        <v>5.3421502131288268E-2</v>
      </c>
      <c r="C2" s="44" t="s">
        <v>40</v>
      </c>
      <c r="O2" s="96" t="s">
        <v>127</v>
      </c>
      <c r="P2" s="55">
        <f>SUM(O9:O39)</f>
        <v>11.054360210810225</v>
      </c>
      <c r="Q2" s="44" t="s">
        <v>40</v>
      </c>
    </row>
    <row r="3" spans="1:17" x14ac:dyDescent="0.25">
      <c r="B3" s="95"/>
      <c r="C3" s="44"/>
      <c r="O3" s="96" t="s">
        <v>128</v>
      </c>
      <c r="P3" s="55">
        <f>P1/P2</f>
        <v>662.9389049747864</v>
      </c>
      <c r="Q3" s="44" t="s">
        <v>50</v>
      </c>
    </row>
    <row r="4" spans="1:17" x14ac:dyDescent="0.25">
      <c r="B4" s="95"/>
      <c r="C4" s="44"/>
      <c r="O4" s="96"/>
      <c r="P4" s="99"/>
      <c r="Q4" s="44"/>
    </row>
    <row r="6" spans="1:17" s="44" customFormat="1" x14ac:dyDescent="0.25">
      <c r="C6" s="90"/>
      <c r="D6" s="90"/>
      <c r="E6" s="90"/>
      <c r="F6" s="100" t="s">
        <v>40</v>
      </c>
      <c r="G6" s="44" t="s">
        <v>50</v>
      </c>
      <c r="H6" s="44" t="s">
        <v>40</v>
      </c>
      <c r="I6" s="44" t="s">
        <v>50</v>
      </c>
      <c r="J6" s="44" t="s">
        <v>50</v>
      </c>
      <c r="K6" s="44" t="s">
        <v>40</v>
      </c>
      <c r="L6" s="44" t="s">
        <v>50</v>
      </c>
      <c r="M6" s="44" t="s">
        <v>40</v>
      </c>
      <c r="N6" s="44" t="s">
        <v>50</v>
      </c>
      <c r="O6" s="44" t="s">
        <v>40</v>
      </c>
    </row>
    <row r="7" spans="1:17" s="44" customFormat="1" x14ac:dyDescent="0.25">
      <c r="C7" s="92" t="s">
        <v>115</v>
      </c>
      <c r="D7" s="92"/>
      <c r="E7" s="92"/>
      <c r="F7" s="101"/>
      <c r="G7" s="102"/>
      <c r="H7" s="102"/>
      <c r="I7" s="102"/>
      <c r="J7" s="103">
        <v>12000</v>
      </c>
      <c r="N7" s="102"/>
      <c r="O7" s="102"/>
      <c r="P7" s="104"/>
    </row>
    <row r="8" spans="1:17" s="51" customFormat="1" ht="46.5" x14ac:dyDescent="0.35">
      <c r="A8" s="61" t="s">
        <v>1</v>
      </c>
      <c r="B8" s="61" t="s">
        <v>116</v>
      </c>
      <c r="C8" s="61" t="s">
        <v>129</v>
      </c>
      <c r="D8" s="61" t="s">
        <v>130</v>
      </c>
      <c r="E8" s="61" t="s">
        <v>131</v>
      </c>
      <c r="F8" s="61" t="s">
        <v>132</v>
      </c>
      <c r="G8" s="105" t="s">
        <v>133</v>
      </c>
      <c r="H8" s="105" t="s">
        <v>134</v>
      </c>
      <c r="I8" s="105" t="s">
        <v>135</v>
      </c>
      <c r="J8" s="105" t="s">
        <v>136</v>
      </c>
      <c r="K8" s="61" t="s">
        <v>137</v>
      </c>
      <c r="L8" s="61" t="s">
        <v>138</v>
      </c>
      <c r="M8" s="61" t="s">
        <v>139</v>
      </c>
      <c r="N8" s="105" t="s">
        <v>140</v>
      </c>
      <c r="O8" s="61" t="s">
        <v>141</v>
      </c>
    </row>
    <row r="9" spans="1:17" x14ac:dyDescent="0.25">
      <c r="A9" s="53">
        <v>1</v>
      </c>
      <c r="B9" s="53">
        <v>38</v>
      </c>
      <c r="C9" s="45">
        <f>'Q3 (i)'!H4</f>
        <v>9.6105068325639392E-4</v>
      </c>
      <c r="D9" s="45">
        <f>'Q3 (i)'!I4</f>
        <v>1.5572508323435585E-3</v>
      </c>
      <c r="E9" s="45">
        <f>'Q3 (i)'!J4</f>
        <v>9.9748169848440007E-3</v>
      </c>
      <c r="F9" s="45">
        <f t="shared" ref="F9:F38" si="0">1-C9-D9-E9</f>
        <v>0.98750688149955601</v>
      </c>
      <c r="G9" s="106">
        <f t="shared" ref="G9:G38" si="1">C9+D9</f>
        <v>2.5183015155999522E-3</v>
      </c>
      <c r="H9" s="107">
        <f>30-A9+11/24</f>
        <v>29.458333333333332</v>
      </c>
      <c r="I9" s="108">
        <f t="shared" ref="I9:I38" si="2">(1-(1+$B$1)^(-H9))/$B$2</f>
        <v>14.852668420700699</v>
      </c>
      <c r="J9" s="55">
        <f t="shared" ref="J9:J38" si="3">I9*$J$7*G9</f>
        <v>448.84196873464941</v>
      </c>
      <c r="K9" s="45">
        <v>1</v>
      </c>
      <c r="L9" s="45">
        <f>(1+$B$1)^((11/24)-A9)</f>
        <v>0.9714152514084462</v>
      </c>
      <c r="M9" s="45">
        <f t="shared" ref="M9:M38" si="4">(1+$B$1)^(1-A9)</f>
        <v>1</v>
      </c>
      <c r="N9" s="55">
        <f>J9*K9*L9</f>
        <v>436.0119339010314</v>
      </c>
      <c r="O9" s="55">
        <f>K9*M9</f>
        <v>1</v>
      </c>
      <c r="P9" s="109"/>
    </row>
    <row r="10" spans="1:17" x14ac:dyDescent="0.25">
      <c r="A10" s="53">
        <v>2</v>
      </c>
      <c r="B10" s="53">
        <v>39</v>
      </c>
      <c r="C10" s="45">
        <f>'Q3 (i)'!H5</f>
        <v>1.0342402596530103E-3</v>
      </c>
      <c r="D10" s="45">
        <f>'Q3 (i)'!I5</f>
        <v>1.6601404392469236E-3</v>
      </c>
      <c r="E10" s="45">
        <f>'Q3 (i)'!J5</f>
        <v>9.9730561930110005E-3</v>
      </c>
      <c r="F10" s="45">
        <f t="shared" si="0"/>
        <v>0.98733256310808903</v>
      </c>
      <c r="G10" s="106">
        <f t="shared" si="1"/>
        <v>2.6943806988999341E-3</v>
      </c>
      <c r="H10" s="107">
        <f t="shared" ref="H10:H38" si="5">30-A10+11/24</f>
        <v>28.458333333333332</v>
      </c>
      <c r="I10" s="108">
        <f t="shared" si="2"/>
        <v>14.640017196498249</v>
      </c>
      <c r="J10" s="55">
        <f t="shared" si="3"/>
        <v>473.34935718969609</v>
      </c>
      <c r="K10" s="45">
        <f t="shared" ref="K10:K38" si="6">K9*F9</f>
        <v>0.98750688149955601</v>
      </c>
      <c r="L10" s="45">
        <f t="shared" ref="L10:L38" si="7">(1+$B$1)^((11/24)-A10)</f>
        <v>0.920772750150186</v>
      </c>
      <c r="M10" s="45">
        <f t="shared" si="4"/>
        <v>0.94786729857819907</v>
      </c>
      <c r="N10" s="55">
        <f t="shared" ref="N10:N38" si="8">J10*K10*L10</f>
        <v>430.40209881610235</v>
      </c>
      <c r="O10" s="55">
        <f t="shared" ref="O10:O38" si="9">K10*M10</f>
        <v>0.93602548009436592</v>
      </c>
      <c r="P10" s="109"/>
    </row>
    <row r="11" spans="1:17" x14ac:dyDescent="0.25">
      <c r="A11" s="53">
        <v>3</v>
      </c>
      <c r="B11" s="53">
        <v>40</v>
      </c>
      <c r="C11" s="45">
        <f>'Q3 (i)'!H6</f>
        <v>1.1155101142951564E-3</v>
      </c>
      <c r="D11" s="45">
        <f>'Q3 (i)'!I6</f>
        <v>1.7720103312048462E-3</v>
      </c>
      <c r="E11" s="45">
        <f>'Q3 (i)'!J6</f>
        <v>9.971124795545001E-3</v>
      </c>
      <c r="F11" s="45">
        <f t="shared" si="0"/>
        <v>0.98714135475895504</v>
      </c>
      <c r="G11" s="106">
        <f t="shared" si="1"/>
        <v>2.8875204455000025E-3</v>
      </c>
      <c r="H11" s="107">
        <f t="shared" si="5"/>
        <v>27.458333333333332</v>
      </c>
      <c r="I11" s="108">
        <f t="shared" si="2"/>
        <v>14.415670154964667</v>
      </c>
      <c r="J11" s="55">
        <f t="shared" si="3"/>
        <v>499.506507696536</v>
      </c>
      <c r="K11" s="45">
        <f t="shared" si="6"/>
        <v>0.97499770039783262</v>
      </c>
      <c r="L11" s="45">
        <f t="shared" si="7"/>
        <v>0.87277037928927581</v>
      </c>
      <c r="M11" s="45">
        <f t="shared" si="4"/>
        <v>0.89845241571393286</v>
      </c>
      <c r="N11" s="55">
        <f t="shared" si="8"/>
        <v>425.05461955339644</v>
      </c>
      <c r="O11" s="55">
        <f t="shared" si="9"/>
        <v>0.87598903923796212</v>
      </c>
      <c r="P11" s="109"/>
    </row>
    <row r="12" spans="1:17" x14ac:dyDescent="0.25">
      <c r="A12" s="53">
        <v>4</v>
      </c>
      <c r="B12" s="53">
        <v>41</v>
      </c>
      <c r="C12" s="45">
        <f>'Q3 (i)'!H7</f>
        <v>1.2088461307653109E-3</v>
      </c>
      <c r="D12" s="45">
        <f>'Q3 (i)'!I7</f>
        <v>1.9058463992347628E-3</v>
      </c>
      <c r="E12" s="45">
        <f>'Q3 (i)'!J7</f>
        <v>1.9937706149399999E-2</v>
      </c>
      <c r="F12" s="45">
        <f t="shared" si="0"/>
        <v>0.97694760132059988</v>
      </c>
      <c r="G12" s="106">
        <f t="shared" si="1"/>
        <v>3.1146925300000738E-3</v>
      </c>
      <c r="H12" s="107">
        <f t="shared" si="5"/>
        <v>26.458333333333332</v>
      </c>
      <c r="I12" s="108">
        <f t="shared" si="2"/>
        <v>14.17898402614674</v>
      </c>
      <c r="J12" s="55">
        <f t="shared" si="3"/>
        <v>529.95810755075547</v>
      </c>
      <c r="K12" s="45">
        <f t="shared" si="6"/>
        <v>0.9624605508575822</v>
      </c>
      <c r="L12" s="45">
        <f t="shared" si="7"/>
        <v>0.82727050169599614</v>
      </c>
      <c r="M12" s="45">
        <f t="shared" si="4"/>
        <v>0.85161366418382267</v>
      </c>
      <c r="N12" s="55">
        <f t="shared" si="8"/>
        <v>421.96071266258747</v>
      </c>
      <c r="O12" s="55">
        <f t="shared" si="9"/>
        <v>0.81964455634820599</v>
      </c>
      <c r="P12" s="109"/>
    </row>
    <row r="13" spans="1:17" x14ac:dyDescent="0.25">
      <c r="A13" s="53">
        <v>5</v>
      </c>
      <c r="B13" s="53">
        <v>42</v>
      </c>
      <c r="C13" s="45">
        <f>'Q3 (i)'!H8</f>
        <v>1.3111479562944854E-3</v>
      </c>
      <c r="D13" s="45">
        <f>'Q3 (i)'!I8</f>
        <v>2.0586482937055158E-3</v>
      </c>
      <c r="E13" s="45">
        <f>'Q3 (i)'!J8</f>
        <v>1.9932604074999999E-2</v>
      </c>
      <c r="F13" s="45">
        <f t="shared" si="0"/>
        <v>0.97669759967500003</v>
      </c>
      <c r="G13" s="106">
        <f t="shared" si="1"/>
        <v>3.3697962500000012E-3</v>
      </c>
      <c r="H13" s="107">
        <f t="shared" si="5"/>
        <v>25.458333333333332</v>
      </c>
      <c r="I13" s="108">
        <f t="shared" si="2"/>
        <v>13.929280160243827</v>
      </c>
      <c r="J13" s="55">
        <f t="shared" si="3"/>
        <v>563.26603259026876</v>
      </c>
      <c r="K13" s="45">
        <f t="shared" si="6"/>
        <v>0.94027352652601814</v>
      </c>
      <c r="L13" s="45">
        <f t="shared" si="7"/>
        <v>0.78414265563601537</v>
      </c>
      <c r="M13" s="45">
        <f t="shared" si="4"/>
        <v>0.80721674330220161</v>
      </c>
      <c r="N13" s="55">
        <f t="shared" si="8"/>
        <v>415.30087871577604</v>
      </c>
      <c r="O13" s="55">
        <f t="shared" si="9"/>
        <v>0.75900453389560862</v>
      </c>
      <c r="P13" s="109"/>
    </row>
    <row r="14" spans="1:17" x14ac:dyDescent="0.25">
      <c r="A14" s="53">
        <v>6</v>
      </c>
      <c r="B14" s="53">
        <v>43</v>
      </c>
      <c r="C14" s="45">
        <f>'Q3 (i)'!H9</f>
        <v>1.4275027658499568E-3</v>
      </c>
      <c r="D14" s="45">
        <f>'Q3 (i)'!I9</f>
        <v>2.2334031956499707E-3</v>
      </c>
      <c r="E14" s="45">
        <f>'Q3 (i)'!J9</f>
        <v>1.9926781880770003E-2</v>
      </c>
      <c r="F14" s="45">
        <f t="shared" si="0"/>
        <v>0.97641231215773006</v>
      </c>
      <c r="G14" s="106">
        <f t="shared" si="1"/>
        <v>3.6609059614999273E-3</v>
      </c>
      <c r="H14" s="107">
        <f t="shared" si="5"/>
        <v>24.458333333333332</v>
      </c>
      <c r="I14" s="108">
        <f t="shared" si="2"/>
        <v>13.665842581716252</v>
      </c>
      <c r="J14" s="55">
        <f t="shared" si="3"/>
        <v>600.35237491589498</v>
      </c>
      <c r="K14" s="45">
        <f t="shared" si="6"/>
        <v>0.9183628963959094</v>
      </c>
      <c r="L14" s="45">
        <f t="shared" si="7"/>
        <v>0.74326318069764485</v>
      </c>
      <c r="M14" s="45">
        <f t="shared" si="4"/>
        <v>0.76513435384094941</v>
      </c>
      <c r="N14" s="55">
        <f t="shared" si="8"/>
        <v>409.79172239329239</v>
      </c>
      <c r="O14" s="55">
        <f t="shared" si="9"/>
        <v>0.70267100132538696</v>
      </c>
      <c r="P14" s="109"/>
    </row>
    <row r="15" spans="1:17" x14ac:dyDescent="0.25">
      <c r="A15" s="53">
        <v>7</v>
      </c>
      <c r="B15" s="53">
        <v>44</v>
      </c>
      <c r="C15" s="45">
        <f>'Q3 (i)'!H10</f>
        <v>1.555807898076538E-3</v>
      </c>
      <c r="D15" s="45">
        <f>'Q3 (i)'!I10</f>
        <v>2.4271084486234677E-3</v>
      </c>
      <c r="E15" s="45">
        <f>'Q3 (i)'!J10</f>
        <v>2.9880512509599E-2</v>
      </c>
      <c r="F15" s="45">
        <f t="shared" si="0"/>
        <v>0.966136571143701</v>
      </c>
      <c r="G15" s="106">
        <f t="shared" si="1"/>
        <v>3.9829163467000059E-3</v>
      </c>
      <c r="H15" s="107">
        <f t="shared" si="5"/>
        <v>23.458333333333332</v>
      </c>
      <c r="I15" s="108">
        <f t="shared" si="2"/>
        <v>13.38791593636966</v>
      </c>
      <c r="J15" s="55">
        <f t="shared" si="3"/>
        <v>639.87539077454687</v>
      </c>
      <c r="K15" s="45">
        <f t="shared" si="6"/>
        <v>0.8967008390697998</v>
      </c>
      <c r="L15" s="45">
        <f t="shared" si="7"/>
        <v>0.70451486322051649</v>
      </c>
      <c r="M15" s="45">
        <f t="shared" si="4"/>
        <v>0.72524583302459655</v>
      </c>
      <c r="N15" s="55">
        <f t="shared" si="8"/>
        <v>404.23428363559378</v>
      </c>
      <c r="O15" s="55">
        <f t="shared" si="9"/>
        <v>0.65032854700503162</v>
      </c>
      <c r="P15" s="109"/>
    </row>
    <row r="16" spans="1:17" x14ac:dyDescent="0.25">
      <c r="A16" s="53">
        <v>8</v>
      </c>
      <c r="B16" s="53">
        <v>45</v>
      </c>
      <c r="C16" s="45">
        <f>'Q3 (i)'!H11</f>
        <v>1.6981602239884573E-3</v>
      </c>
      <c r="D16" s="45">
        <f>'Q3 (i)'!I11</f>
        <v>2.6317609224116158E-3</v>
      </c>
      <c r="E16" s="45">
        <f>'Q3 (i)'!J11</f>
        <v>2.9870102365607998E-2</v>
      </c>
      <c r="F16" s="45">
        <f t="shared" si="0"/>
        <v>0.96579997648799187</v>
      </c>
      <c r="G16" s="106">
        <f t="shared" si="1"/>
        <v>4.3299211464000731E-3</v>
      </c>
      <c r="H16" s="107">
        <f t="shared" si="5"/>
        <v>22.458333333333332</v>
      </c>
      <c r="I16" s="108">
        <f t="shared" si="2"/>
        <v>13.094703325529007</v>
      </c>
      <c r="J16" s="55">
        <f t="shared" si="3"/>
        <v>680.38839402052099</v>
      </c>
      <c r="K16" s="45">
        <f t="shared" si="6"/>
        <v>0.86633547400057598</v>
      </c>
      <c r="L16" s="45">
        <f t="shared" si="7"/>
        <v>0.66778660020902048</v>
      </c>
      <c r="M16" s="45">
        <f t="shared" si="4"/>
        <v>0.68743680855412004</v>
      </c>
      <c r="N16" s="55">
        <f t="shared" si="8"/>
        <v>393.62320667313048</v>
      </c>
      <c r="O16" s="55">
        <f t="shared" si="9"/>
        <v>0.59555089338417677</v>
      </c>
      <c r="P16" s="109"/>
    </row>
    <row r="17" spans="1:16" x14ac:dyDescent="0.25">
      <c r="A17" s="53">
        <v>9</v>
      </c>
      <c r="B17" s="53">
        <v>46</v>
      </c>
      <c r="C17" s="45">
        <f>'Q3 (i)'!H12</f>
        <v>1.8555618529065684E-3</v>
      </c>
      <c r="D17" s="45">
        <f>'Q3 (i)'!I12</f>
        <v>2.8363627172934996E-3</v>
      </c>
      <c r="E17" s="45">
        <f>'Q3 (i)'!J12</f>
        <v>2.9859242262893996E-2</v>
      </c>
      <c r="F17" s="45">
        <f t="shared" si="0"/>
        <v>0.96544883316690588</v>
      </c>
      <c r="G17" s="106">
        <f t="shared" si="1"/>
        <v>4.6919245702000678E-3</v>
      </c>
      <c r="H17" s="107">
        <f t="shared" si="5"/>
        <v>21.458333333333332</v>
      </c>
      <c r="I17" s="108">
        <f t="shared" si="2"/>
        <v>12.785364021092118</v>
      </c>
      <c r="J17" s="55">
        <f t="shared" si="3"/>
        <v>719.85556307416857</v>
      </c>
      <c r="K17" s="45">
        <f t="shared" si="6"/>
        <v>0.83670678042046953</v>
      </c>
      <c r="L17" s="45">
        <f t="shared" si="7"/>
        <v>0.63297308076684411</v>
      </c>
      <c r="M17" s="45">
        <f t="shared" si="4"/>
        <v>0.6515988706674124</v>
      </c>
      <c r="N17" s="55">
        <f t="shared" si="8"/>
        <v>381.2447696662943</v>
      </c>
      <c r="O17" s="55">
        <f t="shared" si="9"/>
        <v>0.54519719320174453</v>
      </c>
      <c r="P17" s="109"/>
    </row>
    <row r="18" spans="1:16" x14ac:dyDescent="0.25">
      <c r="A18" s="53">
        <v>10</v>
      </c>
      <c r="B18" s="53">
        <v>47</v>
      </c>
      <c r="C18" s="45">
        <f>'Q3 (i)'!H13</f>
        <v>2.0279868015165431E-3</v>
      </c>
      <c r="D18" s="45">
        <f>'Q3 (i)'!I13</f>
        <v>3.0618878769834296E-3</v>
      </c>
      <c r="E18" s="45">
        <f>'Q3 (i)'!J13</f>
        <v>3.9796405012860005E-2</v>
      </c>
      <c r="F18" s="45">
        <f t="shared" si="0"/>
        <v>0.95511372030864006</v>
      </c>
      <c r="G18" s="106">
        <f t="shared" si="1"/>
        <v>5.0898746784999727E-3</v>
      </c>
      <c r="H18" s="107">
        <f t="shared" si="5"/>
        <v>20.458333333333332</v>
      </c>
      <c r="I18" s="108">
        <f t="shared" si="2"/>
        <v>12.459011054911198</v>
      </c>
      <c r="J18" s="55">
        <f t="shared" si="3"/>
        <v>760.97765865052486</v>
      </c>
      <c r="K18" s="45">
        <f t="shared" si="6"/>
        <v>0.80779758485978082</v>
      </c>
      <c r="L18" s="45">
        <f t="shared" si="7"/>
        <v>0.59997448413918864</v>
      </c>
      <c r="M18" s="45">
        <f t="shared" si="4"/>
        <v>0.6176292612961255</v>
      </c>
      <c r="N18" s="55">
        <f t="shared" si="8"/>
        <v>368.81386386836647</v>
      </c>
      <c r="O18" s="55">
        <f t="shared" si="9"/>
        <v>0.4989194256137407</v>
      </c>
      <c r="P18" s="109"/>
    </row>
    <row r="19" spans="1:16" x14ac:dyDescent="0.25">
      <c r="A19" s="53">
        <v>11</v>
      </c>
      <c r="B19" s="53">
        <v>48</v>
      </c>
      <c r="C19" s="45">
        <f>'Q3 (i)'!H14</f>
        <v>2.2143274302482501E-3</v>
      </c>
      <c r="D19" s="45">
        <f>'Q3 (i)'!I14</f>
        <v>3.3073287717517081E-3</v>
      </c>
      <c r="E19" s="45">
        <f>'Q3 (i)'!J14</f>
        <v>3.977913375192E-2</v>
      </c>
      <c r="F19" s="45">
        <f t="shared" si="0"/>
        <v>0.95469921004608005</v>
      </c>
      <c r="G19" s="106">
        <f t="shared" si="1"/>
        <v>5.5216562019999582E-3</v>
      </c>
      <c r="H19" s="107">
        <f t="shared" si="5"/>
        <v>19.458333333333332</v>
      </c>
      <c r="I19" s="108">
        <f t="shared" si="2"/>
        <v>12.114708675590329</v>
      </c>
      <c r="J19" s="55">
        <f t="shared" si="3"/>
        <v>802.71907552795244</v>
      </c>
      <c r="K19" s="45">
        <f t="shared" si="6"/>
        <v>0.77153855653175962</v>
      </c>
      <c r="L19" s="45">
        <f t="shared" si="7"/>
        <v>0.5686961934968614</v>
      </c>
      <c r="M19" s="45">
        <f t="shared" si="4"/>
        <v>0.58543057942760712</v>
      </c>
      <c r="N19" s="55">
        <f t="shared" si="8"/>
        <v>352.20988378641886</v>
      </c>
      <c r="O19" s="55">
        <f t="shared" si="9"/>
        <v>0.45168226420112767</v>
      </c>
      <c r="P19" s="109"/>
    </row>
    <row r="20" spans="1:16" x14ac:dyDescent="0.25">
      <c r="A20" s="53">
        <v>12</v>
      </c>
      <c r="B20" s="53">
        <v>49</v>
      </c>
      <c r="C20" s="45">
        <f>'Q3 (i)'!H15</f>
        <v>2.4146594659374731E-3</v>
      </c>
      <c r="D20" s="45">
        <f>'Q3 (i)'!I15</f>
        <v>3.5836611620625142E-3</v>
      </c>
      <c r="E20" s="45">
        <f>'Q3 (i)'!J15</f>
        <v>3.9760067174880002E-2</v>
      </c>
      <c r="F20" s="45">
        <f t="shared" si="0"/>
        <v>0.95424161219712</v>
      </c>
      <c r="G20" s="106">
        <f t="shared" si="1"/>
        <v>5.9983206279999868E-3</v>
      </c>
      <c r="H20" s="107">
        <f t="shared" si="5"/>
        <v>18.458333333333332</v>
      </c>
      <c r="I20" s="108">
        <f t="shared" si="2"/>
        <v>11.751469665406811</v>
      </c>
      <c r="J20" s="55">
        <f t="shared" si="3"/>
        <v>845.86899483990931</v>
      </c>
      <c r="K20" s="45">
        <f t="shared" si="6"/>
        <v>0.73658725044096374</v>
      </c>
      <c r="L20" s="45">
        <f t="shared" si="7"/>
        <v>0.53904852464157482</v>
      </c>
      <c r="M20" s="45">
        <f t="shared" si="4"/>
        <v>0.55491050182711577</v>
      </c>
      <c r="N20" s="55">
        <f t="shared" si="8"/>
        <v>335.85758852421878</v>
      </c>
      <c r="O20" s="55">
        <f t="shared" si="9"/>
        <v>0.40874000078165057</v>
      </c>
      <c r="P20" s="109"/>
    </row>
    <row r="21" spans="1:16" x14ac:dyDescent="0.25">
      <c r="A21" s="53">
        <v>13</v>
      </c>
      <c r="B21" s="53">
        <v>50</v>
      </c>
      <c r="C21" s="45">
        <f>'Q3 (i)'!H16</f>
        <v>2.6279973093503214E-3</v>
      </c>
      <c r="D21" s="45">
        <f>'Q3 (i)'!I16</f>
        <v>3.8698994281496876E-3</v>
      </c>
      <c r="E21" s="45">
        <f>'Q3 (i)'!J16</f>
        <v>4.9675105163125004E-2</v>
      </c>
      <c r="F21" s="45">
        <f t="shared" si="0"/>
        <v>0.94382699809937498</v>
      </c>
      <c r="G21" s="106">
        <f t="shared" si="1"/>
        <v>6.4978967375000085E-3</v>
      </c>
      <c r="H21" s="107">
        <f t="shared" si="5"/>
        <v>17.458333333333332</v>
      </c>
      <c r="I21" s="108">
        <f t="shared" si="2"/>
        <v>11.368252509663202</v>
      </c>
      <c r="J21" s="55">
        <f t="shared" si="3"/>
        <v>886.43677072340165</v>
      </c>
      <c r="K21" s="45">
        <f t="shared" si="6"/>
        <v>0.70288220538462898</v>
      </c>
      <c r="L21" s="45">
        <f t="shared" si="7"/>
        <v>0.51094646885457329</v>
      </c>
      <c r="M21" s="45">
        <f t="shared" si="4"/>
        <v>0.5259815183195411</v>
      </c>
      <c r="N21" s="55">
        <f t="shared" si="8"/>
        <v>318.35062997646821</v>
      </c>
      <c r="O21" s="55">
        <f t="shared" si="9"/>
        <v>0.36970304958799466</v>
      </c>
      <c r="P21" s="109"/>
    </row>
    <row r="22" spans="1:16" x14ac:dyDescent="0.25">
      <c r="A22" s="53">
        <v>14</v>
      </c>
      <c r="B22" s="53">
        <v>51</v>
      </c>
      <c r="C22" s="45">
        <f>'Q3 (i)'!H17</f>
        <v>2.8511942426410154E-3</v>
      </c>
      <c r="D22" s="45">
        <f>'Q3 (i)'!I17</f>
        <v>4.1969969457589284E-3</v>
      </c>
      <c r="E22" s="45">
        <f>'Q3 (i)'!J17</f>
        <v>4.9647590440580008E-2</v>
      </c>
      <c r="F22" s="45">
        <f t="shared" si="0"/>
        <v>0.94330421837102008</v>
      </c>
      <c r="G22" s="106">
        <f t="shared" si="1"/>
        <v>7.0481911883999437E-3</v>
      </c>
      <c r="H22" s="107">
        <f t="shared" si="5"/>
        <v>16.458333333333332</v>
      </c>
      <c r="I22" s="108">
        <f t="shared" si="2"/>
        <v>10.963958410353692</v>
      </c>
      <c r="J22" s="55">
        <f t="shared" si="3"/>
        <v>927.31290069406032</v>
      </c>
      <c r="K22" s="45">
        <f t="shared" si="6"/>
        <v>0.66339920192564272</v>
      </c>
      <c r="L22" s="45">
        <f t="shared" si="7"/>
        <v>0.48430944915125435</v>
      </c>
      <c r="M22" s="45">
        <f t="shared" si="4"/>
        <v>0.49856068087160293</v>
      </c>
      <c r="N22" s="55">
        <f t="shared" si="8"/>
        <v>297.93682742328156</v>
      </c>
      <c r="O22" s="55">
        <f t="shared" si="9"/>
        <v>0.33074475780172646</v>
      </c>
      <c r="P22" s="109"/>
    </row>
    <row r="23" spans="1:16" x14ac:dyDescent="0.25">
      <c r="A23" s="53">
        <v>15</v>
      </c>
      <c r="B23" s="53">
        <v>52</v>
      </c>
      <c r="C23" s="45">
        <f>'Q3 (i)'!H18</f>
        <v>3.0802576764264772E-3</v>
      </c>
      <c r="D23" s="45">
        <f>'Q3 (i)'!I18</f>
        <v>4.5539611482735788E-3</v>
      </c>
      <c r="E23" s="45">
        <f>'Q3 (i)'!J18</f>
        <v>4.9618289058765003E-2</v>
      </c>
      <c r="F23" s="45">
        <f t="shared" si="0"/>
        <v>0.94274749211653497</v>
      </c>
      <c r="G23" s="106">
        <f t="shared" si="1"/>
        <v>7.6342188247000564E-3</v>
      </c>
      <c r="H23" s="107">
        <f t="shared" si="5"/>
        <v>15.458333333333334</v>
      </c>
      <c r="I23" s="108">
        <f t="shared" si="2"/>
        <v>10.537428135582161</v>
      </c>
      <c r="J23" s="55">
        <f t="shared" si="3"/>
        <v>965.34038683902418</v>
      </c>
      <c r="K23" s="45">
        <f t="shared" si="6"/>
        <v>0.62578726564042697</v>
      </c>
      <c r="L23" s="45">
        <f t="shared" si="7"/>
        <v>0.45906108924289507</v>
      </c>
      <c r="M23" s="45">
        <f t="shared" si="4"/>
        <v>0.47256936575507386</v>
      </c>
      <c r="N23" s="55">
        <f t="shared" si="8"/>
        <v>277.31775785376578</v>
      </c>
      <c r="O23" s="55">
        <f t="shared" si="9"/>
        <v>0.2957278912212985</v>
      </c>
      <c r="P23" s="109"/>
    </row>
    <row r="24" spans="1:16" x14ac:dyDescent="0.25">
      <c r="A24" s="53">
        <v>16</v>
      </c>
      <c r="B24" s="53">
        <v>53</v>
      </c>
      <c r="C24" s="45">
        <f>'Q3 (i)'!H19</f>
        <v>3.3122778592169274E-3</v>
      </c>
      <c r="D24" s="45">
        <f>'Q3 (i)'!I19</f>
        <v>4.9427823452830259E-3</v>
      </c>
      <c r="E24" s="45">
        <f>'Q3 (i)'!J19</f>
        <v>5.9504696387730004E-2</v>
      </c>
      <c r="F24" s="45">
        <f t="shared" si="0"/>
        <v>0.93224024340777001</v>
      </c>
      <c r="G24" s="106">
        <f t="shared" si="1"/>
        <v>8.2550602044999533E-3</v>
      </c>
      <c r="H24" s="107">
        <f t="shared" si="5"/>
        <v>14.458333333333334</v>
      </c>
      <c r="I24" s="108">
        <f t="shared" si="2"/>
        <v>10.087438695698197</v>
      </c>
      <c r="J24" s="55">
        <f t="shared" si="3"/>
        <v>999.26896490629315</v>
      </c>
      <c r="K24" s="45">
        <f t="shared" si="6"/>
        <v>0.58995937528097642</v>
      </c>
      <c r="L24" s="45">
        <f t="shared" si="7"/>
        <v>0.43512899454302861</v>
      </c>
      <c r="M24" s="45">
        <f t="shared" si="4"/>
        <v>0.44793304810907481</v>
      </c>
      <c r="N24" s="55">
        <f t="shared" si="8"/>
        <v>256.52076691621971</v>
      </c>
      <c r="O24" s="55">
        <f t="shared" si="9"/>
        <v>0.26426230123013333</v>
      </c>
      <c r="P24" s="109"/>
    </row>
    <row r="25" spans="1:16" x14ac:dyDescent="0.25">
      <c r="A25" s="53">
        <v>17</v>
      </c>
      <c r="B25" s="53">
        <v>54</v>
      </c>
      <c r="C25" s="45">
        <f>'Q3 (i)'!H20</f>
        <v>3.54415363513932E-3</v>
      </c>
      <c r="D25" s="45">
        <f>'Q3 (i)'!I20</f>
        <v>5.3614594421606569E-3</v>
      </c>
      <c r="E25" s="45">
        <f>'Q3 (i)'!J20</f>
        <v>5.9465663215362001E-2</v>
      </c>
      <c r="F25" s="45">
        <f t="shared" si="0"/>
        <v>0.93162872370733807</v>
      </c>
      <c r="G25" s="106">
        <f t="shared" si="1"/>
        <v>8.9056130772999769E-3</v>
      </c>
      <c r="H25" s="107">
        <f t="shared" si="5"/>
        <v>13.458333333333334</v>
      </c>
      <c r="I25" s="108">
        <f t="shared" si="2"/>
        <v>9.6126998366206102</v>
      </c>
      <c r="J25" s="55">
        <f t="shared" si="3"/>
        <v>1027.2838244780144</v>
      </c>
      <c r="K25" s="45">
        <f t="shared" si="6"/>
        <v>0.5499838716126334</v>
      </c>
      <c r="L25" s="45">
        <f t="shared" si="7"/>
        <v>0.41244454459054841</v>
      </c>
      <c r="M25" s="45">
        <f t="shared" si="4"/>
        <v>0.4245810882550472</v>
      </c>
      <c r="N25" s="55">
        <f t="shared" si="8"/>
        <v>233.02685147447264</v>
      </c>
      <c r="O25" s="55">
        <f t="shared" si="9"/>
        <v>0.23351275073201605</v>
      </c>
      <c r="P25" s="109"/>
    </row>
    <row r="26" spans="1:16" x14ac:dyDescent="0.25">
      <c r="A26" s="53">
        <v>18</v>
      </c>
      <c r="B26" s="53">
        <v>55</v>
      </c>
      <c r="C26" s="45">
        <f>'Q3 (i)'!H21</f>
        <v>3.7688519028951976E-3</v>
      </c>
      <c r="D26" s="45">
        <f>'Q3 (i)'!I21</f>
        <v>5.7800592753048056E-3</v>
      </c>
      <c r="E26" s="45">
        <f>'Q3 (i)'!J21</f>
        <v>5.9427065329307999E-2</v>
      </c>
      <c r="F26" s="45">
        <f t="shared" si="0"/>
        <v>0.93102402349249203</v>
      </c>
      <c r="G26" s="106">
        <f t="shared" si="1"/>
        <v>9.5489111782000036E-3</v>
      </c>
      <c r="H26" s="107">
        <f t="shared" si="5"/>
        <v>12.458333333333334</v>
      </c>
      <c r="I26" s="108">
        <f t="shared" si="2"/>
        <v>9.1118503402937598</v>
      </c>
      <c r="J26" s="55">
        <f t="shared" si="3"/>
        <v>1044.0989948221991</v>
      </c>
      <c r="K26" s="45">
        <f t="shared" si="6"/>
        <v>0.51238077237009816</v>
      </c>
      <c r="L26" s="45">
        <f t="shared" si="7"/>
        <v>0.39094269629435868</v>
      </c>
      <c r="M26" s="45">
        <f t="shared" si="4"/>
        <v>0.40244652915170354</v>
      </c>
      <c r="N26" s="55">
        <f t="shared" si="8"/>
        <v>209.14505739303542</v>
      </c>
      <c r="O26" s="55">
        <f t="shared" si="9"/>
        <v>0.20620586344441508</v>
      </c>
      <c r="P26" s="109"/>
    </row>
    <row r="27" spans="1:16" x14ac:dyDescent="0.25">
      <c r="A27" s="53">
        <v>19</v>
      </c>
      <c r="B27" s="53">
        <v>56</v>
      </c>
      <c r="C27" s="45">
        <f>'Q3 (i)'!H22</f>
        <v>3.978379980640186E-3</v>
      </c>
      <c r="D27" s="45">
        <f>'Q3 (i)'!I22</f>
        <v>6.2095892617597664E-3</v>
      </c>
      <c r="E27" s="45">
        <f>'Q3 (i)'!J22</f>
        <v>6.9286842153032005E-2</v>
      </c>
      <c r="F27" s="45">
        <f t="shared" si="0"/>
        <v>0.920525188604568</v>
      </c>
      <c r="G27" s="106">
        <f t="shared" si="1"/>
        <v>1.0187969242399952E-2</v>
      </c>
      <c r="H27" s="107">
        <f t="shared" si="5"/>
        <v>11.458333333333334</v>
      </c>
      <c r="I27" s="108">
        <f t="shared" si="2"/>
        <v>8.5834541216689324</v>
      </c>
      <c r="J27" s="55">
        <f t="shared" si="3"/>
        <v>1049.3755990213701</v>
      </c>
      <c r="K27" s="45">
        <f t="shared" si="6"/>
        <v>0.47703880825219946</v>
      </c>
      <c r="L27" s="45">
        <f t="shared" si="7"/>
        <v>0.37056179743541112</v>
      </c>
      <c r="M27" s="45">
        <f t="shared" si="4"/>
        <v>0.38146590440919764</v>
      </c>
      <c r="N27" s="55">
        <f t="shared" si="8"/>
        <v>185.50059931052553</v>
      </c>
      <c r="O27" s="55">
        <f t="shared" si="9"/>
        <v>0.18197404042821108</v>
      </c>
      <c r="P27" s="109"/>
    </row>
    <row r="28" spans="1:16" x14ac:dyDescent="0.25">
      <c r="A28" s="53">
        <v>20</v>
      </c>
      <c r="B28" s="53">
        <v>57</v>
      </c>
      <c r="C28" s="45">
        <f>'Q3 (i)'!H23</f>
        <v>4.1668449351387011E-3</v>
      </c>
      <c r="D28" s="45">
        <f>'Q3 (i)'!I23</f>
        <v>6.6590565864613101E-3</v>
      </c>
      <c r="E28" s="45">
        <f>'Q3 (i)'!J23</f>
        <v>6.9242186893488003E-2</v>
      </c>
      <c r="F28" s="45">
        <f t="shared" si="0"/>
        <v>0.91993191158491194</v>
      </c>
      <c r="G28" s="106">
        <f t="shared" si="1"/>
        <v>1.0825901521600012E-2</v>
      </c>
      <c r="H28" s="107">
        <f t="shared" si="5"/>
        <v>10.458333333333334</v>
      </c>
      <c r="I28" s="108">
        <f t="shared" si="2"/>
        <v>8.0259961110197384</v>
      </c>
      <c r="J28" s="55">
        <f t="shared" si="3"/>
        <v>1042.6637221277324</v>
      </c>
      <c r="K28" s="45">
        <f t="shared" si="6"/>
        <v>0.43912623893805425</v>
      </c>
      <c r="L28" s="45">
        <f t="shared" si="7"/>
        <v>0.35124340989138497</v>
      </c>
      <c r="M28" s="45">
        <f t="shared" si="4"/>
        <v>0.36157905631203574</v>
      </c>
      <c r="N28" s="55">
        <f t="shared" si="8"/>
        <v>160.82065846604263</v>
      </c>
      <c r="O28" s="55">
        <f t="shared" si="9"/>
        <v>0.15877885107707518</v>
      </c>
      <c r="P28" s="109"/>
    </row>
    <row r="29" spans="1:16" x14ac:dyDescent="0.25">
      <c r="A29" s="53">
        <v>21</v>
      </c>
      <c r="B29" s="53">
        <v>58</v>
      </c>
      <c r="C29" s="45">
        <f>'Q3 (i)'!H24</f>
        <v>4.3221205281181634E-3</v>
      </c>
      <c r="D29" s="45">
        <f>'Q3 (i)'!I24</f>
        <v>7.118535033481848E-3</v>
      </c>
      <c r="E29" s="45">
        <f>'Q3 (i)'!J24</f>
        <v>6.9199154110687999E-2</v>
      </c>
      <c r="F29" s="45">
        <f t="shared" si="0"/>
        <v>0.91936019032771199</v>
      </c>
      <c r="G29" s="106">
        <f t="shared" si="1"/>
        <v>1.1440655561600011E-2</v>
      </c>
      <c r="H29" s="107">
        <f t="shared" si="5"/>
        <v>9.4583333333333339</v>
      </c>
      <c r="I29" s="108">
        <f t="shared" si="2"/>
        <v>7.437877909784838</v>
      </c>
      <c r="J29" s="55">
        <f t="shared" si="3"/>
        <v>1021.1303913009813</v>
      </c>
      <c r="K29" s="45">
        <f t="shared" si="6"/>
        <v>0.40396624041337703</v>
      </c>
      <c r="L29" s="45">
        <f t="shared" si="7"/>
        <v>0.33293214207714211</v>
      </c>
      <c r="M29" s="45">
        <f t="shared" si="4"/>
        <v>0.34272896332894381</v>
      </c>
      <c r="N29" s="55">
        <f t="shared" si="8"/>
        <v>137.33524277070194</v>
      </c>
      <c r="O29" s="55">
        <f t="shared" si="9"/>
        <v>0.1384509307967676</v>
      </c>
    </row>
    <row r="30" spans="1:16" x14ac:dyDescent="0.25">
      <c r="A30" s="53">
        <v>22</v>
      </c>
      <c r="B30" s="53">
        <v>59</v>
      </c>
      <c r="C30" s="45">
        <f>'Q3 (i)'!H25</f>
        <v>4.4299960575597888E-3</v>
      </c>
      <c r="D30" s="45">
        <f>'Q3 (i)'!I25</f>
        <v>7.6709146376402401E-3</v>
      </c>
      <c r="E30" s="45">
        <f>'Q3 (i)'!J25</f>
        <v>7.9031927144383993E-2</v>
      </c>
      <c r="F30" s="45">
        <f t="shared" si="0"/>
        <v>0.90886716216041596</v>
      </c>
      <c r="G30" s="106">
        <f t="shared" si="1"/>
        <v>1.2100910695200029E-2</v>
      </c>
      <c r="H30" s="107">
        <f t="shared" si="5"/>
        <v>8.4583333333333339</v>
      </c>
      <c r="I30" s="108">
        <f t="shared" si="2"/>
        <v>6.8174132074820202</v>
      </c>
      <c r="J30" s="55">
        <f t="shared" si="3"/>
        <v>989.96290075220531</v>
      </c>
      <c r="K30" s="45">
        <f t="shared" si="6"/>
        <v>0.37139047967241257</v>
      </c>
      <c r="L30" s="45">
        <f t="shared" si="7"/>
        <v>0.31557549012051395</v>
      </c>
      <c r="M30" s="45">
        <f t="shared" si="4"/>
        <v>0.32486157661511261</v>
      </c>
      <c r="N30" s="55">
        <f t="shared" si="8"/>
        <v>116.02536722610571</v>
      </c>
      <c r="O30" s="55">
        <f t="shared" si="9"/>
        <v>0.12065049676622287</v>
      </c>
    </row>
    <row r="31" spans="1:16" x14ac:dyDescent="0.25">
      <c r="A31" s="53">
        <v>23</v>
      </c>
      <c r="B31" s="53">
        <v>60</v>
      </c>
      <c r="C31" s="45">
        <f>'Q3 (i)'!H26</f>
        <v>4.546781650181222E-3</v>
      </c>
      <c r="D31" s="45">
        <f>'Q3 (i)'!I26</f>
        <v>8.263105222418762E-3</v>
      </c>
      <c r="E31" s="45">
        <f>'Q3 (i)'!J26</f>
        <v>7.8975209050192008E-2</v>
      </c>
      <c r="F31" s="45">
        <f t="shared" si="0"/>
        <v>0.90821490407720806</v>
      </c>
      <c r="G31" s="106">
        <f t="shared" si="1"/>
        <v>1.2809886872599985E-2</v>
      </c>
      <c r="H31" s="107">
        <f t="shared" si="5"/>
        <v>7.458333333333333</v>
      </c>
      <c r="I31" s="108">
        <f t="shared" si="2"/>
        <v>6.1628229465525459</v>
      </c>
      <c r="J31" s="55">
        <f t="shared" si="3"/>
        <v>947.34077713441707</v>
      </c>
      <c r="K31" s="45">
        <f t="shared" si="6"/>
        <v>0.33754461131326124</v>
      </c>
      <c r="L31" s="45">
        <f t="shared" si="7"/>
        <v>0.29912368731802275</v>
      </c>
      <c r="M31" s="45">
        <f t="shared" si="4"/>
        <v>0.30792566503802149</v>
      </c>
      <c r="N31" s="55">
        <f t="shared" si="8"/>
        <v>95.650714011093015</v>
      </c>
      <c r="O31" s="55">
        <f t="shared" si="9"/>
        <v>0.10393864891863644</v>
      </c>
    </row>
    <row r="32" spans="1:16" x14ac:dyDescent="0.25">
      <c r="A32" s="53">
        <v>24</v>
      </c>
      <c r="B32" s="53">
        <v>61</v>
      </c>
      <c r="C32" s="45">
        <f>'Q3 (i)'!H27</f>
        <v>4.747275794264926E-3</v>
      </c>
      <c r="D32" s="45">
        <f>'Q3 (i)'!I27</f>
        <v>8.9576060484349851E-3</v>
      </c>
      <c r="E32" s="45">
        <f>'Q3 (i)'!J27</f>
        <v>7.8903609452584011E-2</v>
      </c>
      <c r="F32" s="45">
        <f t="shared" si="0"/>
        <v>0.90739150870471608</v>
      </c>
      <c r="G32" s="106">
        <f t="shared" si="1"/>
        <v>1.3704881842699912E-2</v>
      </c>
      <c r="H32" s="107">
        <f t="shared" si="5"/>
        <v>6.458333333333333</v>
      </c>
      <c r="I32" s="108">
        <f t="shared" si="2"/>
        <v>5.4722302212719507</v>
      </c>
      <c r="J32" s="55">
        <f t="shared" si="3"/>
        <v>899.95522318300402</v>
      </c>
      <c r="K32" s="45">
        <f t="shared" si="6"/>
        <v>0.30656304678565205</v>
      </c>
      <c r="L32" s="45">
        <f t="shared" si="7"/>
        <v>0.28352956143888408</v>
      </c>
      <c r="M32" s="45">
        <f t="shared" si="4"/>
        <v>0.29187266828248482</v>
      </c>
      <c r="N32" s="55">
        <f t="shared" si="8"/>
        <v>78.223825600770923</v>
      </c>
      <c r="O32" s="55">
        <f t="shared" si="9"/>
        <v>8.9477374462136494E-2</v>
      </c>
    </row>
    <row r="33" spans="1:15" x14ac:dyDescent="0.25">
      <c r="A33" s="53">
        <v>25</v>
      </c>
      <c r="B33" s="53">
        <v>62</v>
      </c>
      <c r="C33" s="45">
        <f>'Q3 (i)'!H28</f>
        <v>5.0062527091724145E-3</v>
      </c>
      <c r="D33" s="45">
        <f>'Q3 (i)'!I28</f>
        <v>9.8052925608276467E-3</v>
      </c>
      <c r="E33" s="45">
        <f>'Q3 (i)'!J28</f>
        <v>8.8666960925699992E-2</v>
      </c>
      <c r="F33" s="45">
        <f t="shared" si="0"/>
        <v>0.89652149380429991</v>
      </c>
      <c r="G33" s="106">
        <f t="shared" si="1"/>
        <v>1.4811545270000061E-2</v>
      </c>
      <c r="H33" s="107">
        <f t="shared" si="5"/>
        <v>5.458333333333333</v>
      </c>
      <c r="I33" s="108">
        <f t="shared" si="2"/>
        <v>4.7436548961009226</v>
      </c>
      <c r="J33" s="55">
        <f t="shared" si="3"/>
        <v>843.13031086627495</v>
      </c>
      <c r="K33" s="45">
        <f t="shared" si="6"/>
        <v>0.27817270553594725</v>
      </c>
      <c r="L33" s="45">
        <f t="shared" si="7"/>
        <v>0.26874839946813661</v>
      </c>
      <c r="M33" s="45">
        <f t="shared" si="4"/>
        <v>0.2766565576137297</v>
      </c>
      <c r="N33" s="55">
        <f t="shared" si="8"/>
        <v>63.031131535418879</v>
      </c>
      <c r="O33" s="55">
        <f t="shared" si="9"/>
        <v>7.6958303135672854E-2</v>
      </c>
    </row>
    <row r="34" spans="1:15" x14ac:dyDescent="0.25">
      <c r="A34" s="53">
        <v>26</v>
      </c>
      <c r="B34" s="53">
        <v>63</v>
      </c>
      <c r="C34" s="45">
        <f>'Q3 (i)'!H29</f>
        <v>5.3307042557752485E-3</v>
      </c>
      <c r="D34" s="45">
        <f>'Q3 (i)'!I29</f>
        <v>1.0744156773424834E-2</v>
      </c>
      <c r="E34" s="45">
        <f>'Q3 (i)'!J29</f>
        <v>8.8553262507371985E-2</v>
      </c>
      <c r="F34" s="45">
        <f t="shared" si="0"/>
        <v>0.89537187646342797</v>
      </c>
      <c r="G34" s="106">
        <f t="shared" si="1"/>
        <v>1.6074861029200083E-2</v>
      </c>
      <c r="H34" s="107">
        <f t="shared" si="5"/>
        <v>4.458333333333333</v>
      </c>
      <c r="I34" s="108">
        <f t="shared" si="2"/>
        <v>3.97500792804549</v>
      </c>
      <c r="J34" s="55">
        <f t="shared" si="3"/>
        <v>766.77240039959781</v>
      </c>
      <c r="K34" s="45">
        <f t="shared" si="6"/>
        <v>0.24938780950267109</v>
      </c>
      <c r="L34" s="45">
        <f t="shared" si="7"/>
        <v>0.25473781940107731</v>
      </c>
      <c r="M34" s="45">
        <f t="shared" si="4"/>
        <v>0.26223370389926987</v>
      </c>
      <c r="N34" s="55">
        <f t="shared" si="8"/>
        <v>48.711905635909147</v>
      </c>
      <c r="O34" s="55">
        <f t="shared" si="9"/>
        <v>6.5397888993210973E-2</v>
      </c>
    </row>
    <row r="35" spans="1:15" x14ac:dyDescent="0.25">
      <c r="A35" s="53">
        <v>27</v>
      </c>
      <c r="B35" s="53">
        <v>64</v>
      </c>
      <c r="C35" s="45">
        <f>'Q3 (i)'!H30</f>
        <v>5.729665436344295E-3</v>
      </c>
      <c r="D35" s="45">
        <f>'Q3 (i)'!I30</f>
        <v>1.176403443105572E-2</v>
      </c>
      <c r="E35" s="45">
        <f>'Q3 (i)'!J30</f>
        <v>8.8425567011933992E-2</v>
      </c>
      <c r="F35" s="45">
        <f t="shared" si="0"/>
        <v>0.89408073312066594</v>
      </c>
      <c r="G35" s="106">
        <f t="shared" si="1"/>
        <v>1.7493699867400014E-2</v>
      </c>
      <c r="H35" s="107">
        <f t="shared" si="5"/>
        <v>3.4583333333333335</v>
      </c>
      <c r="I35" s="108">
        <f t="shared" si="2"/>
        <v>3.1640853767470074</v>
      </c>
      <c r="J35" s="55">
        <f t="shared" si="3"/>
        <v>664.21871922769731</v>
      </c>
      <c r="K35" s="45">
        <f t="shared" si="6"/>
        <v>0.22329483096151054</v>
      </c>
      <c r="L35" s="45">
        <f t="shared" si="7"/>
        <v>0.24145764872140035</v>
      </c>
      <c r="M35" s="45">
        <f t="shared" si="4"/>
        <v>0.24856275251115625</v>
      </c>
      <c r="N35" s="55">
        <f t="shared" si="8"/>
        <v>35.812179103559451</v>
      </c>
      <c r="O35" s="55">
        <f t="shared" si="9"/>
        <v>5.5502777805306415E-2</v>
      </c>
    </row>
    <row r="36" spans="1:15" x14ac:dyDescent="0.25">
      <c r="A36" s="53">
        <v>28</v>
      </c>
      <c r="B36" s="53">
        <v>65</v>
      </c>
      <c r="C36" s="45">
        <f>'Q3 (i)'!H31</f>
        <v>6.2116159328999086E-3</v>
      </c>
      <c r="D36" s="45">
        <f>'Q3 (i)'!I31</f>
        <v>1.2895606901500009E-2</v>
      </c>
      <c r="E36" s="45">
        <f>'Q3 (i)'!J31</f>
        <v>9.8089277716560008E-2</v>
      </c>
      <c r="F36" s="45">
        <f t="shared" si="0"/>
        <v>0.88280349944904013</v>
      </c>
      <c r="G36" s="106">
        <f t="shared" si="1"/>
        <v>1.9107222834399917E-2</v>
      </c>
      <c r="H36" s="107">
        <f t="shared" si="5"/>
        <v>2.4583333333333335</v>
      </c>
      <c r="I36" s="108">
        <f t="shared" si="2"/>
        <v>2.3085620851271087</v>
      </c>
      <c r="J36" s="55">
        <f t="shared" si="3"/>
        <v>529.32252225084699</v>
      </c>
      <c r="K36" s="45">
        <f t="shared" si="6"/>
        <v>0.19964360616812252</v>
      </c>
      <c r="L36" s="45">
        <f t="shared" si="7"/>
        <v>0.22886980921459749</v>
      </c>
      <c r="M36" s="45">
        <f t="shared" si="4"/>
        <v>0.23560450474991115</v>
      </c>
      <c r="N36" s="55">
        <f t="shared" si="8"/>
        <v>24.186013268667061</v>
      </c>
      <c r="O36" s="55">
        <f t="shared" si="9"/>
        <v>4.7036932957726811E-2</v>
      </c>
    </row>
    <row r="37" spans="1:15" x14ac:dyDescent="0.25">
      <c r="A37" s="53">
        <v>29</v>
      </c>
      <c r="B37" s="53">
        <v>66</v>
      </c>
      <c r="C37" s="45">
        <f>'Q3 (i)'!H32</f>
        <v>6.7846712670954837E-3</v>
      </c>
      <c r="D37" s="45">
        <f>'Q3 (i)'!I32</f>
        <v>1.2635756520904423E-2</v>
      </c>
      <c r="E37" s="45">
        <f>'Q3 (i)'!J32</f>
        <v>9.8057957221200018E-2</v>
      </c>
      <c r="F37" s="45">
        <f t="shared" si="0"/>
        <v>0.88252161499080006</v>
      </c>
      <c r="G37" s="106">
        <f t="shared" si="1"/>
        <v>1.9420427787999905E-2</v>
      </c>
      <c r="H37" s="107">
        <f t="shared" si="5"/>
        <v>1.4583333333333333</v>
      </c>
      <c r="I37" s="108">
        <f t="shared" si="2"/>
        <v>1.4059850124681141</v>
      </c>
      <c r="J37" s="55">
        <f t="shared" si="3"/>
        <v>327.65796486776583</v>
      </c>
      <c r="K37" s="45">
        <f t="shared" si="6"/>
        <v>0.17624607416784452</v>
      </c>
      <c r="L37" s="45">
        <f t="shared" si="7"/>
        <v>0.21693820778634837</v>
      </c>
      <c r="M37" s="45">
        <f t="shared" si="4"/>
        <v>0.22332180545015276</v>
      </c>
      <c r="N37" s="55">
        <f t="shared" si="8"/>
        <v>12.527840901852695</v>
      </c>
      <c r="O37" s="55">
        <f t="shared" si="9"/>
        <v>3.9359591486664569E-2</v>
      </c>
    </row>
    <row r="38" spans="1:15" x14ac:dyDescent="0.25">
      <c r="A38" s="53">
        <v>30</v>
      </c>
      <c r="B38" s="53">
        <v>67</v>
      </c>
      <c r="C38" s="45">
        <f>'Q3 (i)'!H33</f>
        <v>7.4445244188032752E-3</v>
      </c>
      <c r="D38" s="45">
        <f>'Q3 (i)'!I33</f>
        <v>1.4010341051296839E-2</v>
      </c>
      <c r="E38" s="45">
        <f>'Q3 (i)'!J33</f>
        <v>9.7854513452989997E-2</v>
      </c>
      <c r="F38" s="45">
        <f t="shared" si="0"/>
        <v>0.88069062107690987</v>
      </c>
      <c r="G38" s="106">
        <f t="shared" si="1"/>
        <v>2.1454865470100115E-2</v>
      </c>
      <c r="H38" s="107">
        <f t="shared" si="5"/>
        <v>0.45833333333333331</v>
      </c>
      <c r="I38" s="108">
        <f t="shared" si="2"/>
        <v>0.453766200812878</v>
      </c>
      <c r="J38" s="55">
        <f t="shared" si="3"/>
        <v>116.82591351982477</v>
      </c>
      <c r="K38" s="45">
        <f t="shared" si="6"/>
        <v>0.15554097001039446</v>
      </c>
      <c r="L38" s="45">
        <f t="shared" si="7"/>
        <v>0.20562863297284206</v>
      </c>
      <c r="M38" s="45">
        <f t="shared" si="4"/>
        <v>0.21167943644564247</v>
      </c>
      <c r="N38" s="55">
        <f t="shared" si="8"/>
        <v>3.7365222872793478</v>
      </c>
      <c r="O38" s="55">
        <f t="shared" si="9"/>
        <v>3.2924824876008875E-2</v>
      </c>
    </row>
  </sheetData>
  <mergeCells count="2">
    <mergeCell ref="C6:E6"/>
    <mergeCell ref="C7:E7"/>
  </mergeCells>
  <printOptions gridLines="1" gridLinesSet="0"/>
  <pageMargins left="0.7" right="0.7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"/>
  <sheetViews>
    <sheetView workbookViewId="0">
      <selection activeCell="T10" sqref="T10"/>
    </sheetView>
  </sheetViews>
  <sheetFormatPr defaultRowHeight="15" x14ac:dyDescent="0.25"/>
  <cols>
    <col min="20" max="20" width="9.140625" style="9"/>
  </cols>
  <sheetData>
    <row r="1" spans="1:20" x14ac:dyDescent="0.25">
      <c r="A1" t="s">
        <v>142</v>
      </c>
      <c r="B1" s="38" t="s">
        <v>207</v>
      </c>
      <c r="T1" s="39" t="s">
        <v>50</v>
      </c>
    </row>
    <row r="2" spans="1:20" x14ac:dyDescent="0.25">
      <c r="B2" s="38" t="s">
        <v>208</v>
      </c>
      <c r="T2" s="39" t="s">
        <v>40</v>
      </c>
    </row>
    <row r="3" spans="1:20" x14ac:dyDescent="0.25">
      <c r="B3" s="38" t="s">
        <v>209</v>
      </c>
      <c r="T3" s="39" t="s">
        <v>40</v>
      </c>
    </row>
    <row r="4" spans="1:20" x14ac:dyDescent="0.25">
      <c r="T4" s="39" t="s">
        <v>143</v>
      </c>
    </row>
    <row r="5" spans="1:20" x14ac:dyDescent="0.25">
      <c r="A5" t="s">
        <v>144</v>
      </c>
      <c r="B5" t="s">
        <v>145</v>
      </c>
    </row>
    <row r="6" spans="1:20" x14ac:dyDescent="0.25">
      <c r="B6" t="s">
        <v>146</v>
      </c>
      <c r="T6" s="9" t="s">
        <v>40</v>
      </c>
    </row>
    <row r="7" spans="1:20" x14ac:dyDescent="0.25">
      <c r="B7" t="s">
        <v>147</v>
      </c>
      <c r="T7" s="9" t="s">
        <v>40</v>
      </c>
    </row>
    <row r="8" spans="1:20" x14ac:dyDescent="0.25">
      <c r="B8" t="s">
        <v>148</v>
      </c>
      <c r="T8" s="9" t="s">
        <v>40</v>
      </c>
    </row>
    <row r="12" spans="1:20" x14ac:dyDescent="0.25">
      <c r="T12" s="31" t="s">
        <v>149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5"/>
  <sheetViews>
    <sheetView workbookViewId="0"/>
  </sheetViews>
  <sheetFormatPr defaultRowHeight="15" x14ac:dyDescent="0.25"/>
  <sheetData>
    <row r="1" spans="1:3" x14ac:dyDescent="0.25">
      <c r="A1" t="s">
        <v>59</v>
      </c>
      <c r="B1" t="s">
        <v>150</v>
      </c>
    </row>
    <row r="3" spans="1:3" x14ac:dyDescent="0.25">
      <c r="A3" t="s">
        <v>60</v>
      </c>
      <c r="B3" t="s">
        <v>151</v>
      </c>
      <c r="C3" s="12" t="e">
        <f>#REF!</f>
        <v>#REF!</v>
      </c>
    </row>
    <row r="5" spans="1:3" x14ac:dyDescent="0.25">
      <c r="A5" t="s">
        <v>152</v>
      </c>
      <c r="B5" t="s">
        <v>153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35"/>
  <sheetViews>
    <sheetView workbookViewId="0">
      <selection activeCell="B5" sqref="B5"/>
    </sheetView>
  </sheetViews>
  <sheetFormatPr defaultRowHeight="15" x14ac:dyDescent="0.25"/>
  <cols>
    <col min="1" max="1" width="14.28515625" customWidth="1"/>
    <col min="4" max="4" width="6.42578125" style="11" customWidth="1"/>
    <col min="5" max="5" width="11.7109375" customWidth="1"/>
    <col min="6" max="6" width="11.28515625" customWidth="1"/>
    <col min="7" max="7" width="11.7109375" customWidth="1"/>
    <col min="13" max="14" width="10.7109375" bestFit="1" customWidth="1"/>
    <col min="15" max="15" width="11.85546875" customWidth="1"/>
    <col min="16" max="16" width="16.42578125" customWidth="1"/>
    <col min="18" max="18" width="12.42578125" customWidth="1"/>
    <col min="21" max="21" width="11.7109375" customWidth="1"/>
  </cols>
  <sheetData>
    <row r="1" spans="1:9" x14ac:dyDescent="0.25">
      <c r="A1" s="32" t="s">
        <v>154</v>
      </c>
      <c r="E1" s="1" t="s">
        <v>155</v>
      </c>
    </row>
    <row r="3" spans="1:9" x14ac:dyDescent="0.25">
      <c r="E3" s="33" t="s">
        <v>156</v>
      </c>
    </row>
    <row r="4" spans="1:9" x14ac:dyDescent="0.25">
      <c r="A4" s="34">
        <v>41670</v>
      </c>
      <c r="B4" s="29">
        <v>76.3</v>
      </c>
      <c r="H4" s="35" t="s">
        <v>157</v>
      </c>
      <c r="I4" s="6">
        <v>0.17499999999999999</v>
      </c>
    </row>
    <row r="5" spans="1:9" x14ac:dyDescent="0.25">
      <c r="A5" s="34">
        <v>41698</v>
      </c>
      <c r="B5" s="29">
        <v>76.7</v>
      </c>
      <c r="H5" s="35" t="s">
        <v>158</v>
      </c>
      <c r="I5" s="7">
        <v>0.27</v>
      </c>
    </row>
    <row r="6" spans="1:9" x14ac:dyDescent="0.25">
      <c r="A6" s="34">
        <v>41729</v>
      </c>
      <c r="B6" s="29">
        <v>77.599999999999994</v>
      </c>
      <c r="E6" s="27"/>
      <c r="F6" s="27"/>
      <c r="G6" s="27"/>
    </row>
    <row r="7" spans="1:9" x14ac:dyDescent="0.25">
      <c r="A7" s="34">
        <v>41759</v>
      </c>
      <c r="B7" s="29">
        <v>77.900000000000006</v>
      </c>
      <c r="F7" s="27"/>
      <c r="G7" s="27"/>
    </row>
    <row r="8" spans="1:9" x14ac:dyDescent="0.25">
      <c r="A8" s="34">
        <v>41790</v>
      </c>
      <c r="B8" s="29">
        <v>77.900000000000006</v>
      </c>
      <c r="E8" s="27"/>
      <c r="F8" s="27"/>
      <c r="G8" s="27"/>
    </row>
    <row r="9" spans="1:9" x14ac:dyDescent="0.25">
      <c r="A9" s="34">
        <v>41820</v>
      </c>
      <c r="B9" s="29">
        <v>78.2</v>
      </c>
      <c r="E9" s="32" t="s">
        <v>159</v>
      </c>
      <c r="F9" s="27"/>
      <c r="G9" s="27"/>
    </row>
    <row r="10" spans="1:9" x14ac:dyDescent="0.25">
      <c r="A10" s="34">
        <v>41851</v>
      </c>
      <c r="B10" s="29">
        <v>78.400000000000006</v>
      </c>
      <c r="E10" s="27"/>
      <c r="F10" s="27"/>
      <c r="G10" s="27"/>
    </row>
    <row r="11" spans="1:9" x14ac:dyDescent="0.25">
      <c r="A11" s="34">
        <v>41882</v>
      </c>
      <c r="B11" s="29">
        <v>78.599999999999994</v>
      </c>
      <c r="E11" s="33" t="s">
        <v>160</v>
      </c>
      <c r="F11" s="27"/>
      <c r="G11" s="27"/>
    </row>
    <row r="12" spans="1:9" x14ac:dyDescent="0.25">
      <c r="A12" s="34">
        <v>41912</v>
      </c>
      <c r="B12" s="29">
        <v>79.3</v>
      </c>
      <c r="E12" s="27"/>
      <c r="F12" s="27"/>
      <c r="G12" s="27"/>
    </row>
    <row r="13" spans="1:9" x14ac:dyDescent="0.25">
      <c r="A13" s="34">
        <v>41943</v>
      </c>
      <c r="B13" s="29">
        <v>79.8</v>
      </c>
      <c r="E13" s="27"/>
      <c r="F13" s="27"/>
      <c r="G13" s="27"/>
    </row>
    <row r="14" spans="1:9" x14ac:dyDescent="0.25">
      <c r="A14" s="34">
        <v>41973</v>
      </c>
      <c r="B14" s="29">
        <v>80</v>
      </c>
      <c r="E14" s="27"/>
      <c r="F14" s="27"/>
      <c r="G14" s="27"/>
    </row>
    <row r="15" spans="1:9" x14ac:dyDescent="0.25">
      <c r="A15" s="34">
        <v>42004</v>
      </c>
      <c r="B15" s="29">
        <v>80.2</v>
      </c>
      <c r="F15" s="27"/>
      <c r="G15" s="27"/>
    </row>
    <row r="16" spans="1:9" x14ac:dyDescent="0.25">
      <c r="A16" s="34">
        <v>42035</v>
      </c>
      <c r="B16" s="29">
        <v>80.400000000000006</v>
      </c>
    </row>
    <row r="17" spans="1:16" x14ac:dyDescent="0.25">
      <c r="A17" s="34">
        <v>42063</v>
      </c>
      <c r="B17" s="29">
        <v>81.2</v>
      </c>
    </row>
    <row r="18" spans="1:16" x14ac:dyDescent="0.25">
      <c r="A18" s="34">
        <v>42094</v>
      </c>
      <c r="B18" s="29">
        <v>82.2</v>
      </c>
      <c r="D18" s="1"/>
    </row>
    <row r="19" spans="1:16" x14ac:dyDescent="0.25">
      <c r="A19" s="34">
        <v>42124</v>
      </c>
      <c r="B19" s="29">
        <v>82.5</v>
      </c>
      <c r="J19" s="27"/>
    </row>
    <row r="20" spans="1:16" x14ac:dyDescent="0.25">
      <c r="A20" s="34">
        <v>42155</v>
      </c>
      <c r="B20" s="29">
        <v>82.3</v>
      </c>
      <c r="D20" s="27"/>
      <c r="J20" s="27"/>
    </row>
    <row r="21" spans="1:16" x14ac:dyDescent="0.25">
      <c r="A21" s="34">
        <v>42185</v>
      </c>
      <c r="B21" s="29">
        <v>82.5</v>
      </c>
      <c r="D21" s="27"/>
      <c r="H21" s="27"/>
      <c r="I21" s="27"/>
      <c r="J21" s="27"/>
    </row>
    <row r="22" spans="1:16" x14ac:dyDescent="0.25">
      <c r="A22" s="34">
        <v>42216</v>
      </c>
      <c r="B22" s="29">
        <v>83.4</v>
      </c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25">
      <c r="A23" s="34">
        <v>42247</v>
      </c>
      <c r="B23" s="29">
        <v>83.6</v>
      </c>
      <c r="D23" s="30"/>
      <c r="H23" s="27"/>
      <c r="I23" s="27"/>
      <c r="J23" s="27"/>
      <c r="K23" s="27"/>
      <c r="L23" s="27"/>
      <c r="M23" s="27"/>
      <c r="N23" s="27"/>
      <c r="O23" s="27"/>
      <c r="P23" s="27"/>
    </row>
    <row r="24" spans="1:16" x14ac:dyDescent="0.25">
      <c r="A24" s="34">
        <v>42277</v>
      </c>
      <c r="B24" s="29">
        <v>84</v>
      </c>
      <c r="D24" s="30"/>
      <c r="H24" s="27"/>
      <c r="I24" s="27"/>
      <c r="J24" s="27"/>
      <c r="K24" s="27"/>
      <c r="L24" s="27"/>
      <c r="M24" s="27"/>
      <c r="N24" s="27"/>
      <c r="O24" s="27"/>
      <c r="P24" s="27"/>
    </row>
    <row r="25" spans="1:16" x14ac:dyDescent="0.25">
      <c r="A25" s="34">
        <v>42308</v>
      </c>
      <c r="B25" s="29">
        <v>84.2</v>
      </c>
      <c r="D25" s="30"/>
      <c r="H25" s="27"/>
      <c r="I25" s="27"/>
      <c r="J25" s="27"/>
      <c r="K25" s="27"/>
      <c r="L25" s="27"/>
      <c r="M25" s="27"/>
      <c r="N25" s="27"/>
      <c r="O25" s="27"/>
      <c r="P25" s="27"/>
    </row>
    <row r="26" spans="1:16" x14ac:dyDescent="0.25">
      <c r="A26" s="34">
        <v>42338</v>
      </c>
      <c r="B26" s="29">
        <v>84.3</v>
      </c>
      <c r="D26" s="30"/>
      <c r="H26" s="27"/>
      <c r="I26" s="27"/>
      <c r="J26" s="27"/>
      <c r="K26" s="27"/>
      <c r="L26" s="27"/>
      <c r="M26" s="27"/>
      <c r="N26" s="27"/>
      <c r="O26" s="27"/>
      <c r="P26" s="27"/>
    </row>
    <row r="27" spans="1:16" x14ac:dyDescent="0.25">
      <c r="A27" s="34">
        <v>42369</v>
      </c>
      <c r="B27" s="29">
        <v>84.5</v>
      </c>
      <c r="D27" s="30"/>
      <c r="H27" s="27"/>
      <c r="I27" s="27"/>
      <c r="K27" s="27"/>
      <c r="L27" s="27"/>
      <c r="M27" s="27"/>
      <c r="N27" s="27"/>
      <c r="O27" s="27"/>
      <c r="P27" s="27"/>
    </row>
    <row r="28" spans="1:16" x14ac:dyDescent="0.25">
      <c r="A28" s="34">
        <v>42400</v>
      </c>
      <c r="B28" s="29">
        <v>85.1</v>
      </c>
      <c r="D28" s="30"/>
      <c r="H28" s="27"/>
      <c r="I28" s="27"/>
      <c r="K28" s="27"/>
      <c r="L28" s="27"/>
      <c r="M28" s="27"/>
      <c r="N28" s="27"/>
      <c r="O28" s="27"/>
      <c r="P28" s="27"/>
    </row>
    <row r="29" spans="1:16" x14ac:dyDescent="0.25">
      <c r="A29" s="34">
        <v>42429</v>
      </c>
      <c r="B29" s="29">
        <v>86</v>
      </c>
      <c r="D29" s="30"/>
      <c r="K29" s="27"/>
      <c r="L29" s="27"/>
      <c r="M29" s="27"/>
      <c r="N29" s="27"/>
      <c r="O29" s="27"/>
      <c r="P29" s="27"/>
    </row>
    <row r="30" spans="1:16" x14ac:dyDescent="0.25">
      <c r="A30" s="34">
        <v>42460</v>
      </c>
      <c r="B30" s="29">
        <v>87.2</v>
      </c>
    </row>
    <row r="31" spans="1:16" x14ac:dyDescent="0.25">
      <c r="A31" s="34">
        <v>42490</v>
      </c>
      <c r="B31" s="29">
        <v>87.6</v>
      </c>
    </row>
    <row r="32" spans="1:16" x14ac:dyDescent="0.25">
      <c r="A32" s="34">
        <v>42521</v>
      </c>
      <c r="B32" s="29">
        <v>87.7</v>
      </c>
    </row>
    <row r="33" spans="1:2" x14ac:dyDescent="0.25">
      <c r="A33" s="34">
        <v>42551</v>
      </c>
      <c r="B33" s="29">
        <v>88</v>
      </c>
    </row>
    <row r="34" spans="1:2" x14ac:dyDescent="0.25">
      <c r="A34" s="34">
        <v>42582</v>
      </c>
      <c r="B34" s="29">
        <v>88.7</v>
      </c>
    </row>
    <row r="35" spans="1:2" x14ac:dyDescent="0.25">
      <c r="A35" s="34">
        <v>42613</v>
      </c>
      <c r="B35" s="29">
        <v>89</v>
      </c>
    </row>
    <row r="36" spans="1:2" x14ac:dyDescent="0.25">
      <c r="A36" s="34">
        <v>42643</v>
      </c>
      <c r="B36" s="29">
        <v>89</v>
      </c>
    </row>
    <row r="37" spans="1:2" x14ac:dyDescent="0.25">
      <c r="A37" s="34">
        <v>42674</v>
      </c>
      <c r="B37" s="29">
        <v>89.2</v>
      </c>
    </row>
    <row r="38" spans="1:2" x14ac:dyDescent="0.25">
      <c r="A38" s="34">
        <v>42704</v>
      </c>
      <c r="B38" s="29">
        <v>89.2</v>
      </c>
    </row>
    <row r="39" spans="1:2" x14ac:dyDescent="0.25">
      <c r="A39" s="34">
        <v>42735</v>
      </c>
      <c r="B39" s="29">
        <v>89</v>
      </c>
    </row>
    <row r="40" spans="1:2" x14ac:dyDescent="0.25">
      <c r="A40" s="34">
        <v>42766</v>
      </c>
      <c r="B40" s="29">
        <v>88.9</v>
      </c>
    </row>
    <row r="41" spans="1:2" x14ac:dyDescent="0.25">
      <c r="A41" s="34">
        <v>42794</v>
      </c>
      <c r="B41" s="29">
        <v>89.4</v>
      </c>
    </row>
    <row r="42" spans="1:2" x14ac:dyDescent="0.25">
      <c r="A42" s="34">
        <v>42825</v>
      </c>
      <c r="B42" s="29">
        <v>90.7</v>
      </c>
    </row>
    <row r="43" spans="1:2" x14ac:dyDescent="0.25">
      <c r="A43" s="34">
        <v>42855</v>
      </c>
      <c r="B43" s="29">
        <v>91.5</v>
      </c>
    </row>
    <row r="44" spans="1:2" x14ac:dyDescent="0.25">
      <c r="A44" s="34">
        <v>42886</v>
      </c>
      <c r="B44" s="29">
        <v>91.7</v>
      </c>
    </row>
    <row r="45" spans="1:2" x14ac:dyDescent="0.25">
      <c r="A45" s="34">
        <v>42916</v>
      </c>
      <c r="B45" s="29">
        <v>92.1</v>
      </c>
    </row>
    <row r="46" spans="1:2" x14ac:dyDescent="0.25">
      <c r="A46" s="34">
        <v>42947</v>
      </c>
      <c r="B46" s="29">
        <v>93.1</v>
      </c>
    </row>
    <row r="47" spans="1:2" x14ac:dyDescent="0.25">
      <c r="A47" s="34">
        <v>42978</v>
      </c>
      <c r="B47" s="29">
        <v>93.1</v>
      </c>
    </row>
    <row r="48" spans="1:2" x14ac:dyDescent="0.25">
      <c r="A48" s="34">
        <v>43008</v>
      </c>
      <c r="B48" s="29">
        <v>93.1</v>
      </c>
    </row>
    <row r="49" spans="1:2" x14ac:dyDescent="0.25">
      <c r="A49" s="34">
        <v>43039</v>
      </c>
      <c r="B49" s="29">
        <v>93.3</v>
      </c>
    </row>
    <row r="50" spans="1:2" x14ac:dyDescent="0.25">
      <c r="A50" s="34">
        <v>43069</v>
      </c>
      <c r="B50" s="29">
        <v>93.4</v>
      </c>
    </row>
    <row r="51" spans="1:2" x14ac:dyDescent="0.25">
      <c r="A51" s="34">
        <v>43100</v>
      </c>
      <c r="B51" s="29">
        <v>93.7</v>
      </c>
    </row>
    <row r="52" spans="1:2" x14ac:dyDescent="0.25">
      <c r="A52" s="34">
        <v>43131</v>
      </c>
      <c r="B52" s="29">
        <v>94.4</v>
      </c>
    </row>
    <row r="53" spans="1:2" x14ac:dyDescent="0.25">
      <c r="A53" s="34">
        <v>43159</v>
      </c>
      <c r="B53" s="29">
        <v>95.7</v>
      </c>
    </row>
    <row r="54" spans="1:2" x14ac:dyDescent="0.25">
      <c r="A54" s="34">
        <v>43190</v>
      </c>
      <c r="B54" s="29">
        <v>96.4</v>
      </c>
    </row>
    <row r="55" spans="1:2" x14ac:dyDescent="0.25">
      <c r="A55" s="34">
        <v>43220</v>
      </c>
      <c r="B55" s="29">
        <v>97.2</v>
      </c>
    </row>
    <row r="56" spans="1:2" x14ac:dyDescent="0.25">
      <c r="A56" s="34">
        <v>43251</v>
      </c>
      <c r="B56" s="29">
        <v>97.4</v>
      </c>
    </row>
    <row r="57" spans="1:2" x14ac:dyDescent="0.25">
      <c r="A57" s="34">
        <v>43281</v>
      </c>
      <c r="B57" s="29">
        <v>97.9</v>
      </c>
    </row>
    <row r="58" spans="1:2" x14ac:dyDescent="0.25">
      <c r="A58" s="34">
        <v>43312</v>
      </c>
      <c r="B58" s="29">
        <v>98.7</v>
      </c>
    </row>
    <row r="59" spans="1:2" x14ac:dyDescent="0.25">
      <c r="A59" s="34">
        <v>43343</v>
      </c>
      <c r="B59" s="29">
        <v>98.6</v>
      </c>
    </row>
    <row r="60" spans="1:2" x14ac:dyDescent="0.25">
      <c r="A60" s="34">
        <v>43373</v>
      </c>
      <c r="B60" s="29">
        <v>98.8</v>
      </c>
    </row>
    <row r="61" spans="1:2" x14ac:dyDescent="0.25">
      <c r="A61" s="34">
        <v>43404</v>
      </c>
      <c r="B61" s="29">
        <v>99.3</v>
      </c>
    </row>
    <row r="62" spans="1:2" x14ac:dyDescent="0.25">
      <c r="A62" s="34">
        <v>43434</v>
      </c>
      <c r="B62" s="29">
        <v>99.6</v>
      </c>
    </row>
    <row r="63" spans="1:2" x14ac:dyDescent="0.25">
      <c r="A63" s="34">
        <v>43465</v>
      </c>
      <c r="B63" s="29">
        <v>100</v>
      </c>
    </row>
    <row r="64" spans="1:2" x14ac:dyDescent="0.25">
      <c r="A64" s="34">
        <v>43496</v>
      </c>
      <c r="B64" s="29">
        <v>100.6</v>
      </c>
    </row>
    <row r="65" spans="1:2" x14ac:dyDescent="0.25">
      <c r="A65" s="34">
        <v>43524</v>
      </c>
      <c r="B65" s="29">
        <v>101.7</v>
      </c>
    </row>
    <row r="66" spans="1:2" x14ac:dyDescent="0.25">
      <c r="A66" s="34">
        <v>43555</v>
      </c>
      <c r="B66" s="29">
        <v>102.3</v>
      </c>
    </row>
    <row r="67" spans="1:2" x14ac:dyDescent="0.25">
      <c r="A67" s="34">
        <v>43585</v>
      </c>
      <c r="B67" s="29">
        <v>102.4</v>
      </c>
    </row>
    <row r="68" spans="1:2" x14ac:dyDescent="0.25">
      <c r="A68" s="34">
        <v>43616</v>
      </c>
      <c r="B68" s="29">
        <v>102.7</v>
      </c>
    </row>
    <row r="69" spans="1:2" x14ac:dyDescent="0.25">
      <c r="A69" s="34">
        <v>43646</v>
      </c>
      <c r="B69" s="29">
        <v>102.9</v>
      </c>
    </row>
    <row r="70" spans="1:2" x14ac:dyDescent="0.25">
      <c r="A70" s="34">
        <v>43677</v>
      </c>
      <c r="B70" s="29">
        <v>103.2</v>
      </c>
    </row>
    <row r="71" spans="1:2" x14ac:dyDescent="0.25">
      <c r="A71" s="34">
        <v>43708</v>
      </c>
      <c r="B71" s="29">
        <v>103.3</v>
      </c>
    </row>
    <row r="72" spans="1:2" x14ac:dyDescent="0.25">
      <c r="A72" s="34">
        <v>43738</v>
      </c>
      <c r="B72" s="29">
        <v>103.8</v>
      </c>
    </row>
    <row r="73" spans="1:2" x14ac:dyDescent="0.25">
      <c r="A73" s="34">
        <v>43769</v>
      </c>
      <c r="B73" s="29">
        <v>104.1</v>
      </c>
    </row>
    <row r="74" spans="1:2" x14ac:dyDescent="0.25">
      <c r="A74" s="34">
        <v>43799</v>
      </c>
      <c r="B74" s="29">
        <v>104.2</v>
      </c>
    </row>
    <row r="75" spans="1:2" x14ac:dyDescent="0.25">
      <c r="A75" s="34">
        <v>43830</v>
      </c>
      <c r="B75" s="29">
        <v>104.7</v>
      </c>
    </row>
    <row r="76" spans="1:2" x14ac:dyDescent="0.25">
      <c r="A76" s="34">
        <v>43861</v>
      </c>
      <c r="B76" s="29">
        <v>105</v>
      </c>
    </row>
    <row r="77" spans="1:2" x14ac:dyDescent="0.25">
      <c r="A77" s="34">
        <v>43890</v>
      </c>
      <c r="B77" s="29">
        <v>105.8</v>
      </c>
    </row>
    <row r="78" spans="1:2" x14ac:dyDescent="0.25">
      <c r="A78" s="34">
        <v>43921</v>
      </c>
      <c r="B78" s="29">
        <v>106.2</v>
      </c>
    </row>
    <row r="79" spans="1:2" x14ac:dyDescent="0.25">
      <c r="A79" s="34">
        <v>43951</v>
      </c>
      <c r="B79" s="29">
        <v>107</v>
      </c>
    </row>
    <row r="80" spans="1:2" x14ac:dyDescent="0.25">
      <c r="A80" s="34">
        <v>43982</v>
      </c>
      <c r="B80" s="29">
        <v>107.2</v>
      </c>
    </row>
    <row r="81" spans="1:2" x14ac:dyDescent="0.25">
      <c r="A81" s="34">
        <v>44012</v>
      </c>
      <c r="B81" s="29">
        <v>107.6</v>
      </c>
    </row>
    <row r="82" spans="1:2" x14ac:dyDescent="0.25">
      <c r="A82" s="34">
        <v>44043</v>
      </c>
      <c r="B82" s="29">
        <v>108.5</v>
      </c>
    </row>
    <row r="83" spans="1:2" x14ac:dyDescent="0.25">
      <c r="A83" s="34">
        <v>44074</v>
      </c>
      <c r="B83" s="29">
        <v>108.4</v>
      </c>
    </row>
    <row r="84" spans="1:2" x14ac:dyDescent="0.25">
      <c r="A84" s="34">
        <v>44104</v>
      </c>
      <c r="B84" s="29">
        <v>108.9</v>
      </c>
    </row>
    <row r="85" spans="1:2" x14ac:dyDescent="0.25">
      <c r="A85" s="34">
        <v>44135</v>
      </c>
      <c r="B85" s="29">
        <v>109.4</v>
      </c>
    </row>
    <row r="86" spans="1:2" x14ac:dyDescent="0.25">
      <c r="A86" s="34">
        <v>44165</v>
      </c>
      <c r="B86" s="29">
        <v>109.6</v>
      </c>
    </row>
    <row r="87" spans="1:2" x14ac:dyDescent="0.25">
      <c r="A87" s="34">
        <v>44196</v>
      </c>
      <c r="B87" s="29">
        <v>109.4</v>
      </c>
    </row>
    <row r="88" spans="1:2" x14ac:dyDescent="0.25">
      <c r="A88" s="34">
        <v>44227</v>
      </c>
      <c r="B88" s="29">
        <v>109.2</v>
      </c>
    </row>
    <row r="89" spans="1:2" x14ac:dyDescent="0.25">
      <c r="A89" s="34">
        <v>44255</v>
      </c>
      <c r="B89" s="29">
        <v>110.1</v>
      </c>
    </row>
    <row r="90" spans="1:2" x14ac:dyDescent="0.25">
      <c r="A90" s="34">
        <v>44286</v>
      </c>
      <c r="B90" s="29">
        <v>111</v>
      </c>
    </row>
    <row r="91" spans="1:2" x14ac:dyDescent="0.25">
      <c r="A91" s="34">
        <v>44316</v>
      </c>
      <c r="B91" s="29">
        <v>111.7</v>
      </c>
    </row>
    <row r="92" spans="1:2" x14ac:dyDescent="0.25">
      <c r="A92" s="34">
        <v>44347</v>
      </c>
      <c r="B92" s="29">
        <v>112</v>
      </c>
    </row>
    <row r="93" spans="1:2" x14ac:dyDescent="0.25">
      <c r="A93" s="34">
        <v>44377</v>
      </c>
      <c r="B93" s="29">
        <v>112.4</v>
      </c>
    </row>
    <row r="94" spans="1:2" x14ac:dyDescent="0.25">
      <c r="A94" s="34">
        <v>44408</v>
      </c>
      <c r="B94" s="29">
        <v>112.8</v>
      </c>
    </row>
    <row r="95" spans="1:2" x14ac:dyDescent="0.25">
      <c r="A95" s="34">
        <v>44439</v>
      </c>
      <c r="B95" s="29">
        <v>113.1</v>
      </c>
    </row>
    <row r="96" spans="1:2" x14ac:dyDescent="0.25">
      <c r="A96" s="34">
        <v>44469</v>
      </c>
      <c r="B96" s="29">
        <v>113.4</v>
      </c>
    </row>
    <row r="97" spans="1:2" x14ac:dyDescent="0.25">
      <c r="A97" s="34">
        <v>44500</v>
      </c>
      <c r="B97" s="29">
        <v>113.4</v>
      </c>
    </row>
    <row r="98" spans="1:2" x14ac:dyDescent="0.25">
      <c r="A98" s="34">
        <v>44530</v>
      </c>
      <c r="B98" s="29">
        <v>113.5</v>
      </c>
    </row>
    <row r="99" spans="1:2" x14ac:dyDescent="0.25">
      <c r="A99" s="34">
        <v>44561</v>
      </c>
      <c r="B99" s="29">
        <v>113.8</v>
      </c>
    </row>
    <row r="100" spans="1:2" x14ac:dyDescent="0.25">
      <c r="A100" s="34">
        <v>44592</v>
      </c>
      <c r="B100" s="29">
        <v>114.1</v>
      </c>
    </row>
    <row r="101" spans="1:2" x14ac:dyDescent="0.25">
      <c r="A101" s="34">
        <v>44620</v>
      </c>
      <c r="B101" s="29">
        <v>115.2</v>
      </c>
    </row>
    <row r="102" spans="1:2" x14ac:dyDescent="0.25">
      <c r="A102" s="34">
        <v>44651</v>
      </c>
      <c r="B102" s="29">
        <v>115.6</v>
      </c>
    </row>
    <row r="103" spans="1:2" x14ac:dyDescent="0.25">
      <c r="A103" s="34">
        <v>44681</v>
      </c>
      <c r="B103" s="29">
        <v>115</v>
      </c>
    </row>
    <row r="104" spans="1:2" x14ac:dyDescent="0.25">
      <c r="A104" s="34">
        <v>44712</v>
      </c>
      <c r="B104" s="29">
        <v>114.3</v>
      </c>
    </row>
    <row r="105" spans="1:2" x14ac:dyDescent="0.25">
      <c r="A105" s="34">
        <v>44742</v>
      </c>
      <c r="B105" s="29">
        <v>114.9</v>
      </c>
    </row>
    <row r="106" spans="1:2" x14ac:dyDescent="0.25">
      <c r="A106" s="34">
        <v>44773</v>
      </c>
      <c r="B106" s="29">
        <v>116.4</v>
      </c>
    </row>
    <row r="107" spans="1:2" x14ac:dyDescent="0.25">
      <c r="A107" s="34">
        <v>44804</v>
      </c>
      <c r="B107" s="29">
        <v>116.6</v>
      </c>
    </row>
    <row r="108" spans="1:2" x14ac:dyDescent="0.25">
      <c r="A108" s="34">
        <v>44834</v>
      </c>
      <c r="B108" s="29">
        <v>116.8</v>
      </c>
    </row>
    <row r="109" spans="1:2" x14ac:dyDescent="0.25">
      <c r="A109" s="34">
        <v>44865</v>
      </c>
      <c r="B109" s="29">
        <v>117.1</v>
      </c>
    </row>
    <row r="110" spans="1:2" x14ac:dyDescent="0.25">
      <c r="A110" s="34">
        <v>44895</v>
      </c>
      <c r="B110" s="29">
        <v>117.1</v>
      </c>
    </row>
    <row r="111" spans="1:2" x14ac:dyDescent="0.25">
      <c r="A111" s="34">
        <v>44926</v>
      </c>
      <c r="B111" s="29">
        <v>117.3</v>
      </c>
    </row>
    <row r="112" spans="1:2" x14ac:dyDescent="0.25">
      <c r="A112" s="34">
        <v>44957</v>
      </c>
      <c r="B112" s="29">
        <v>117.7</v>
      </c>
    </row>
    <row r="113" spans="1:3" x14ac:dyDescent="0.25">
      <c r="A113" s="34">
        <v>44985</v>
      </c>
      <c r="B113" s="29">
        <v>118.5</v>
      </c>
    </row>
    <row r="114" spans="1:3" x14ac:dyDescent="0.25">
      <c r="A114" s="34">
        <v>45016</v>
      </c>
      <c r="B114" s="29">
        <v>119.3</v>
      </c>
    </row>
    <row r="115" spans="1:3" x14ac:dyDescent="0.25">
      <c r="A115" s="34">
        <v>45046</v>
      </c>
      <c r="B115" s="29">
        <v>120.1</v>
      </c>
    </row>
    <row r="116" spans="1:3" x14ac:dyDescent="0.25">
      <c r="A116" s="34">
        <v>45077</v>
      </c>
      <c r="B116" s="29">
        <v>120.2</v>
      </c>
    </row>
    <row r="117" spans="1:3" x14ac:dyDescent="0.25">
      <c r="A117" s="34">
        <v>45107</v>
      </c>
      <c r="B117" s="29">
        <v>120.5</v>
      </c>
    </row>
    <row r="118" spans="1:3" x14ac:dyDescent="0.25">
      <c r="A118" s="34">
        <v>45138</v>
      </c>
      <c r="B118" s="29">
        <v>121.8</v>
      </c>
    </row>
    <row r="119" spans="1:3" x14ac:dyDescent="0.25">
      <c r="A119" s="34">
        <v>45169</v>
      </c>
      <c r="B119" s="29">
        <v>122.3</v>
      </c>
    </row>
    <row r="120" spans="1:3" x14ac:dyDescent="0.25">
      <c r="A120" s="34">
        <v>45199</v>
      </c>
      <c r="B120" s="29">
        <v>122.6</v>
      </c>
    </row>
    <row r="121" spans="1:3" x14ac:dyDescent="0.25">
      <c r="A121" s="34">
        <v>45230</v>
      </c>
      <c r="B121" s="29">
        <v>122.9</v>
      </c>
    </row>
    <row r="122" spans="1:3" x14ac:dyDescent="0.25">
      <c r="A122" s="34">
        <v>45260</v>
      </c>
      <c r="B122" s="29">
        <v>123.5</v>
      </c>
    </row>
    <row r="123" spans="1:3" x14ac:dyDescent="0.25">
      <c r="A123" s="34">
        <v>45291</v>
      </c>
      <c r="B123" s="29">
        <v>124.2</v>
      </c>
    </row>
    <row r="124" spans="1:3" x14ac:dyDescent="0.25">
      <c r="A124" s="34">
        <v>45322</v>
      </c>
      <c r="B124" s="29">
        <v>124.5</v>
      </c>
      <c r="C124" s="29"/>
    </row>
    <row r="125" spans="1:3" x14ac:dyDescent="0.25">
      <c r="A125" s="34">
        <v>45351</v>
      </c>
      <c r="B125" s="29">
        <v>125.2</v>
      </c>
      <c r="C125" s="29"/>
    </row>
    <row r="126" spans="1:3" x14ac:dyDescent="0.25">
      <c r="A126" s="34">
        <v>45382</v>
      </c>
      <c r="B126" s="29">
        <v>126.5</v>
      </c>
      <c r="C126" s="29"/>
    </row>
    <row r="127" spans="1:3" x14ac:dyDescent="0.25">
      <c r="A127" s="34">
        <v>45412</v>
      </c>
      <c r="B127" s="29">
        <v>127.2</v>
      </c>
      <c r="C127" s="29"/>
    </row>
    <row r="128" spans="1:3" x14ac:dyDescent="0.25">
      <c r="A128" s="34">
        <v>45443</v>
      </c>
      <c r="B128" s="29">
        <v>128.1</v>
      </c>
      <c r="C128" s="29"/>
    </row>
    <row r="129" spans="1:3" x14ac:dyDescent="0.25">
      <c r="A129" s="34">
        <v>45473</v>
      </c>
      <c r="B129" s="29">
        <v>129.4</v>
      </c>
      <c r="C129" s="29"/>
    </row>
    <row r="130" spans="1:3" x14ac:dyDescent="0.25">
      <c r="A130" s="34">
        <v>45504</v>
      </c>
      <c r="B130" s="29">
        <v>131.4</v>
      </c>
      <c r="C130" s="29"/>
    </row>
    <row r="131" spans="1:3" x14ac:dyDescent="0.25">
      <c r="A131" s="34">
        <v>45535</v>
      </c>
      <c r="B131" s="29">
        <v>131.69999999999999</v>
      </c>
      <c r="C131" s="29"/>
    </row>
    <row r="132" spans="1:3" x14ac:dyDescent="0.25">
      <c r="A132" s="34">
        <v>45565</v>
      </c>
      <c r="B132" s="29">
        <v>131.80000000000001</v>
      </c>
      <c r="C132" s="29"/>
    </row>
    <row r="133" spans="1:3" x14ac:dyDescent="0.25">
      <c r="A133" s="34">
        <v>45596</v>
      </c>
      <c r="B133" s="29">
        <v>132.30000000000001</v>
      </c>
      <c r="C133" s="29"/>
    </row>
    <row r="134" spans="1:3" x14ac:dyDescent="0.25">
      <c r="A134" s="34">
        <v>45626</v>
      </c>
      <c r="B134" s="29">
        <v>132.69999999999999</v>
      </c>
      <c r="C134" s="29"/>
    </row>
    <row r="135" spans="1:3" x14ac:dyDescent="0.25">
      <c r="A135" s="34">
        <v>45657</v>
      </c>
      <c r="B135" s="29">
        <v>133.19999999999999</v>
      </c>
      <c r="C135" s="29"/>
    </row>
  </sheetData>
  <printOptions gridLines="1" gridLinesSet="0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31"/>
  <sheetViews>
    <sheetView topLeftCell="A4" workbookViewId="0">
      <selection activeCell="A14" sqref="A14"/>
    </sheetView>
  </sheetViews>
  <sheetFormatPr defaultRowHeight="15" x14ac:dyDescent="0.25"/>
  <cols>
    <col min="1" max="1" width="23" style="45" bestFit="1" customWidth="1"/>
    <col min="2" max="2" width="11.7109375" style="45" customWidth="1"/>
    <col min="3" max="3" width="10.5703125" style="45" bestFit="1" customWidth="1"/>
    <col min="4" max="4" width="13.5703125" style="45" customWidth="1"/>
    <col min="5" max="5" width="10.7109375" style="45" customWidth="1"/>
    <col min="6" max="6" width="9.140625" style="45"/>
    <col min="7" max="7" width="13.140625" style="53" customWidth="1"/>
    <col min="8" max="8" width="12.140625" style="45" customWidth="1"/>
    <col min="9" max="9" width="11.42578125" style="45" customWidth="1"/>
    <col min="10" max="10" width="13.28515625" style="45" customWidth="1"/>
    <col min="11" max="11" width="11.42578125" style="45" customWidth="1"/>
    <col min="12" max="12" width="16.140625" style="45" customWidth="1"/>
    <col min="13" max="13" width="12.7109375" style="45" customWidth="1"/>
    <col min="14" max="14" width="13.140625" style="45" customWidth="1"/>
    <col min="15" max="15" width="14" style="45" customWidth="1"/>
    <col min="16" max="16" width="10.28515625" style="80" customWidth="1"/>
    <col min="17" max="17" width="12.7109375" style="45" customWidth="1"/>
    <col min="18" max="18" width="12.85546875" style="45" customWidth="1"/>
    <col min="19" max="19" width="11.7109375" style="45" bestFit="1" customWidth="1"/>
    <col min="20" max="16384" width="9.140625" style="45"/>
  </cols>
  <sheetData>
    <row r="1" spans="1:19" x14ac:dyDescent="0.25">
      <c r="A1" s="46" t="s">
        <v>161</v>
      </c>
      <c r="B1" s="84">
        <v>1000000</v>
      </c>
      <c r="L1" s="46" t="s">
        <v>162</v>
      </c>
      <c r="M1" s="46" t="s">
        <v>163</v>
      </c>
    </row>
    <row r="2" spans="1:19" x14ac:dyDescent="0.25">
      <c r="A2" s="46" t="s">
        <v>164</v>
      </c>
      <c r="B2" s="95">
        <v>0.02</v>
      </c>
      <c r="L2" s="95">
        <f>'Q4 Base'!I4</f>
        <v>0.17499999999999999</v>
      </c>
      <c r="M2" s="95">
        <f>'Q4 Base'!I5</f>
        <v>0.27</v>
      </c>
    </row>
    <row r="3" spans="1:19" ht="15" customHeight="1" x14ac:dyDescent="0.25">
      <c r="A3" s="46" t="s">
        <v>165</v>
      </c>
      <c r="B3" s="45">
        <v>2</v>
      </c>
      <c r="C3" s="45" t="s">
        <v>166</v>
      </c>
      <c r="E3" s="95"/>
      <c r="F3" s="110"/>
      <c r="L3" s="111"/>
    </row>
    <row r="4" spans="1:19" x14ac:dyDescent="0.25">
      <c r="A4" s="46" t="s">
        <v>167</v>
      </c>
      <c r="B4" s="95">
        <v>5.5E-2</v>
      </c>
      <c r="J4" s="112"/>
      <c r="K4" s="112"/>
      <c r="L4" s="112"/>
      <c r="N4" s="76"/>
    </row>
    <row r="5" spans="1:19" x14ac:dyDescent="0.25">
      <c r="A5" s="46" t="s">
        <v>168</v>
      </c>
      <c r="B5" s="95">
        <f>+(1+B4)^(1/12)-1</f>
        <v>4.471698917043021E-3</v>
      </c>
      <c r="C5" s="80" t="s">
        <v>40</v>
      </c>
      <c r="J5" s="112"/>
      <c r="K5" s="112"/>
      <c r="N5" s="81" t="s">
        <v>169</v>
      </c>
      <c r="O5" s="113">
        <f>SUM(M11:M31)+O31</f>
        <v>1550855.4118084239</v>
      </c>
      <c r="P5" s="80" t="s">
        <v>40</v>
      </c>
    </row>
    <row r="6" spans="1:19" x14ac:dyDescent="0.25">
      <c r="A6" s="46" t="s">
        <v>170</v>
      </c>
      <c r="B6" s="95">
        <v>0.08</v>
      </c>
      <c r="J6" s="112"/>
      <c r="K6" s="112"/>
      <c r="N6" s="114"/>
      <c r="O6" s="113" t="s">
        <v>171</v>
      </c>
      <c r="P6" s="80" t="s">
        <v>50</v>
      </c>
      <c r="S6" s="112"/>
    </row>
    <row r="7" spans="1:19" ht="16.5" customHeight="1" x14ac:dyDescent="0.25">
      <c r="G7" s="81" t="s">
        <v>172</v>
      </c>
      <c r="H7" s="115">
        <f>'Q4 Base'!B13</f>
        <v>79.8</v>
      </c>
      <c r="I7" s="116" t="s">
        <v>40</v>
      </c>
      <c r="N7" s="81" t="s">
        <v>210</v>
      </c>
      <c r="O7" s="117">
        <f>(O5-M2*N31*J31)/(1-M2*J31)</f>
        <v>1368608.3534538867</v>
      </c>
      <c r="P7" s="80" t="s">
        <v>173</v>
      </c>
      <c r="Q7" s="111"/>
      <c r="R7" s="112"/>
    </row>
    <row r="8" spans="1:19" ht="16.5" customHeight="1" x14ac:dyDescent="0.25">
      <c r="P8" s="116"/>
      <c r="Q8" s="112"/>
      <c r="R8" s="112"/>
    </row>
    <row r="9" spans="1:19" s="44" customFormat="1" x14ac:dyDescent="0.25">
      <c r="D9" s="44" t="s">
        <v>50</v>
      </c>
      <c r="H9" s="44" t="s">
        <v>50</v>
      </c>
      <c r="I9" s="44" t="s">
        <v>40</v>
      </c>
      <c r="J9" s="44" t="s">
        <v>40</v>
      </c>
      <c r="K9" s="89" t="s">
        <v>40</v>
      </c>
      <c r="L9" s="89" t="s">
        <v>40</v>
      </c>
      <c r="M9" s="44" t="s">
        <v>40</v>
      </c>
      <c r="N9" s="44" t="s">
        <v>50</v>
      </c>
      <c r="O9" s="44" t="s">
        <v>40</v>
      </c>
    </row>
    <row r="10" spans="1:19" ht="60" x14ac:dyDescent="0.25">
      <c r="A10" s="46"/>
      <c r="B10" s="101" t="s">
        <v>174</v>
      </c>
      <c r="C10" s="51" t="s">
        <v>175</v>
      </c>
      <c r="D10" s="65" t="s">
        <v>176</v>
      </c>
      <c r="F10" s="65" t="s">
        <v>177</v>
      </c>
      <c r="G10" s="101" t="s">
        <v>174</v>
      </c>
      <c r="H10" s="65" t="s">
        <v>178</v>
      </c>
      <c r="I10" s="65" t="s">
        <v>179</v>
      </c>
      <c r="J10" s="65" t="s">
        <v>180</v>
      </c>
      <c r="K10" s="118" t="s">
        <v>192</v>
      </c>
      <c r="L10" s="65" t="s">
        <v>181</v>
      </c>
      <c r="M10" s="65" t="s">
        <v>182</v>
      </c>
      <c r="N10" s="65" t="s">
        <v>183</v>
      </c>
      <c r="O10" s="65" t="s">
        <v>184</v>
      </c>
    </row>
    <row r="11" spans="1:19" x14ac:dyDescent="0.25">
      <c r="B11" s="119">
        <v>45657</v>
      </c>
      <c r="C11" s="119">
        <v>45716</v>
      </c>
      <c r="D11" s="120">
        <f>'Q4 Base'!B135</f>
        <v>133.19999999999999</v>
      </c>
      <c r="F11" s="111">
        <v>0</v>
      </c>
      <c r="G11" s="119">
        <v>45657</v>
      </c>
      <c r="J11" s="121">
        <f t="shared" ref="J11:J31" si="0">(1+$B$6)^-F11</f>
        <v>1</v>
      </c>
      <c r="K11" s="121"/>
      <c r="L11" s="65"/>
      <c r="M11" s="122"/>
      <c r="N11" s="65"/>
      <c r="O11" s="65"/>
    </row>
    <row r="12" spans="1:19" x14ac:dyDescent="0.25">
      <c r="B12" s="119">
        <v>45688</v>
      </c>
      <c r="C12" s="119">
        <v>45747</v>
      </c>
      <c r="D12" s="120">
        <f t="shared" ref="D12:D43" si="1">D11*(1+$B$5)</f>
        <v>133.79563029575013</v>
      </c>
      <c r="F12" s="45">
        <f t="shared" ref="F12:F31" si="2">F11+0.5</f>
        <v>0.5</v>
      </c>
      <c r="G12" s="119">
        <f t="shared" ref="G12:G31" si="3">EOMONTH(G11,$F$12*12)</f>
        <v>45838</v>
      </c>
      <c r="H12" s="123">
        <f>VLOOKUP(G12,$C$12:$D$131,2,FALSE)</f>
        <v>135.59854975346136</v>
      </c>
      <c r="I12" s="121">
        <f>H12/$H$7</f>
        <v>1.6992299467852301</v>
      </c>
      <c r="J12" s="121">
        <f t="shared" si="0"/>
        <v>0.96225044864937614</v>
      </c>
      <c r="K12" s="122">
        <f>I12*$B$1*($B$2/$B$3)</f>
        <v>16992.299467852303</v>
      </c>
      <c r="L12" s="122">
        <f>K12*(1-$L$2)</f>
        <v>14018.647060978148</v>
      </c>
      <c r="M12" s="122">
        <f t="shared" ref="M12:M31" si="4">L12*J12</f>
        <v>13489.449423883481</v>
      </c>
      <c r="N12" s="65"/>
      <c r="O12" s="65"/>
    </row>
    <row r="13" spans="1:19" x14ac:dyDescent="0.25">
      <c r="B13" s="119">
        <v>45716</v>
      </c>
      <c r="C13" s="119">
        <v>45777</v>
      </c>
      <c r="D13" s="120">
        <f t="shared" si="1"/>
        <v>134.39392407084873</v>
      </c>
      <c r="F13" s="45">
        <f t="shared" si="2"/>
        <v>1</v>
      </c>
      <c r="G13" s="119">
        <f t="shared" si="3"/>
        <v>46022</v>
      </c>
      <c r="H13" s="123">
        <f>VLOOKUP(G13,$C$12:$D$131,2,FALSE)</f>
        <v>139.27760000617559</v>
      </c>
      <c r="I13" s="121">
        <f>H13/$H$7</f>
        <v>1.7453333334107217</v>
      </c>
      <c r="J13" s="121">
        <f t="shared" si="0"/>
        <v>0.92592592592592582</v>
      </c>
      <c r="K13" s="122">
        <f t="shared" ref="K13:K31" si="5">I13*$B$1*($B$2/$B$3)</f>
        <v>17453.333334107218</v>
      </c>
      <c r="L13" s="122">
        <f t="shared" ref="L13:L31" si="6">K13*(1-$L$2)</f>
        <v>14399.000000638454</v>
      </c>
      <c r="M13" s="122">
        <f t="shared" si="4"/>
        <v>13332.407407998568</v>
      </c>
    </row>
    <row r="14" spans="1:19" x14ac:dyDescent="0.25">
      <c r="B14" s="119">
        <v>45747</v>
      </c>
      <c r="C14" s="119">
        <v>45808</v>
      </c>
      <c r="D14" s="120">
        <f t="shared" si="1"/>
        <v>134.9948932355735</v>
      </c>
      <c r="F14" s="45">
        <f t="shared" si="2"/>
        <v>1.5</v>
      </c>
      <c r="G14" s="119">
        <f t="shared" si="3"/>
        <v>46203</v>
      </c>
      <c r="H14" s="123">
        <f t="shared" ref="H14:H31" si="7">VLOOKUP(G14,$C$12:$D$131,2,FALSE)</f>
        <v>143.05646998990176</v>
      </c>
      <c r="I14" s="121">
        <f t="shared" ref="I14:I31" si="8">H14/$H$7</f>
        <v>1.7926875938584181</v>
      </c>
      <c r="J14" s="121">
        <f t="shared" si="0"/>
        <v>0.89097263763831136</v>
      </c>
      <c r="K14" s="122">
        <f t="shared" si="5"/>
        <v>17926.87593858418</v>
      </c>
      <c r="L14" s="122">
        <f t="shared" si="6"/>
        <v>14789.672649331947</v>
      </c>
      <c r="M14" s="122">
        <f t="shared" si="4"/>
        <v>13177.193650182478</v>
      </c>
    </row>
    <row r="15" spans="1:19" x14ac:dyDescent="0.25">
      <c r="B15" s="119">
        <v>45777</v>
      </c>
      <c r="C15" s="119">
        <v>45838</v>
      </c>
      <c r="D15" s="120">
        <f t="shared" si="1"/>
        <v>135.59854975346136</v>
      </c>
      <c r="F15" s="45">
        <f t="shared" si="2"/>
        <v>2</v>
      </c>
      <c r="G15" s="119">
        <f t="shared" si="3"/>
        <v>46387</v>
      </c>
      <c r="H15" s="123">
        <f t="shared" si="7"/>
        <v>146.93786800651529</v>
      </c>
      <c r="I15" s="121">
        <f t="shared" si="8"/>
        <v>1.8413266667483119</v>
      </c>
      <c r="J15" s="121">
        <f t="shared" si="0"/>
        <v>0.85733882030178321</v>
      </c>
      <c r="K15" s="122">
        <f t="shared" si="5"/>
        <v>18413.26666748312</v>
      </c>
      <c r="L15" s="122">
        <f t="shared" si="6"/>
        <v>15190.945000673573</v>
      </c>
      <c r="M15" s="122">
        <f t="shared" si="4"/>
        <v>13023.786866146753</v>
      </c>
    </row>
    <row r="16" spans="1:19" x14ac:dyDescent="0.25">
      <c r="B16" s="119">
        <v>45808</v>
      </c>
      <c r="C16" s="119">
        <v>45869</v>
      </c>
      <c r="D16" s="120">
        <f t="shared" si="1"/>
        <v>136.2049056415465</v>
      </c>
      <c r="F16" s="45">
        <f t="shared" si="2"/>
        <v>2.5</v>
      </c>
      <c r="G16" s="119">
        <f t="shared" si="3"/>
        <v>46568</v>
      </c>
      <c r="H16" s="123">
        <f>VLOOKUP(G16,$C$12:$D$131,2,FALSE)</f>
        <v>150.92457583934643</v>
      </c>
      <c r="I16" s="121">
        <f t="shared" si="8"/>
        <v>1.8912854115206321</v>
      </c>
      <c r="J16" s="121">
        <f t="shared" si="0"/>
        <v>0.82497466447991774</v>
      </c>
      <c r="K16" s="122">
        <f t="shared" si="5"/>
        <v>18912.854115206323</v>
      </c>
      <c r="L16" s="122">
        <f t="shared" si="6"/>
        <v>15603.104645045216</v>
      </c>
      <c r="M16" s="122">
        <f t="shared" si="4"/>
        <v>12872.166019391223</v>
      </c>
    </row>
    <row r="17" spans="2:15" x14ac:dyDescent="0.25">
      <c r="B17" s="119">
        <v>45838</v>
      </c>
      <c r="C17" s="119">
        <v>45900</v>
      </c>
      <c r="D17" s="120">
        <f t="shared" si="1"/>
        <v>136.81397297059976</v>
      </c>
      <c r="F17" s="45">
        <f t="shared" si="2"/>
        <v>3</v>
      </c>
      <c r="G17" s="119">
        <f t="shared" si="3"/>
        <v>46752</v>
      </c>
      <c r="H17" s="123">
        <f t="shared" si="7"/>
        <v>155.0194507468737</v>
      </c>
      <c r="I17" s="121">
        <f t="shared" si="8"/>
        <v>1.94259963341947</v>
      </c>
      <c r="J17" s="121">
        <f t="shared" si="0"/>
        <v>0.79383224102016958</v>
      </c>
      <c r="K17" s="122">
        <f t="shared" si="5"/>
        <v>19425.9963341947</v>
      </c>
      <c r="L17" s="122">
        <f t="shared" si="6"/>
        <v>16026.446975710627</v>
      </c>
      <c r="M17" s="122">
        <f t="shared" si="4"/>
        <v>12722.310318319287</v>
      </c>
    </row>
    <row r="18" spans="2:15" x14ac:dyDescent="0.25">
      <c r="B18" s="119">
        <v>45869</v>
      </c>
      <c r="C18" s="119">
        <v>45930</v>
      </c>
      <c r="D18" s="120">
        <f t="shared" si="1"/>
        <v>137.42576386536874</v>
      </c>
      <c r="F18" s="45">
        <f t="shared" si="2"/>
        <v>3.5</v>
      </c>
      <c r="G18" s="119">
        <f t="shared" si="3"/>
        <v>46934</v>
      </c>
      <c r="H18" s="123">
        <f t="shared" si="7"/>
        <v>159.22542751051051</v>
      </c>
      <c r="I18" s="121">
        <f t="shared" si="8"/>
        <v>1.9953061091542672</v>
      </c>
      <c r="J18" s="121">
        <f t="shared" si="0"/>
        <v>0.76386543007399788</v>
      </c>
      <c r="K18" s="122">
        <f t="shared" si="5"/>
        <v>19953.061091542673</v>
      </c>
      <c r="L18" s="122">
        <f t="shared" si="6"/>
        <v>16461.275400522703</v>
      </c>
      <c r="M18" s="122">
        <f t="shared" si="4"/>
        <v>12574.199213386797</v>
      </c>
    </row>
    <row r="19" spans="2:15" x14ac:dyDescent="0.25">
      <c r="B19" s="119">
        <v>45900</v>
      </c>
      <c r="C19" s="119">
        <v>45961</v>
      </c>
      <c r="D19" s="120">
        <f t="shared" si="1"/>
        <v>138.04029050481932</v>
      </c>
      <c r="F19" s="45">
        <f t="shared" si="2"/>
        <v>4</v>
      </c>
      <c r="G19" s="119">
        <f t="shared" si="3"/>
        <v>47118</v>
      </c>
      <c r="H19" s="123">
        <f t="shared" si="7"/>
        <v>163.54552053795177</v>
      </c>
      <c r="I19" s="121">
        <f t="shared" si="8"/>
        <v>2.0494426132575412</v>
      </c>
      <c r="J19" s="121">
        <f t="shared" si="0"/>
        <v>0.73502985279645328</v>
      </c>
      <c r="K19" s="122">
        <f t="shared" si="5"/>
        <v>20494.426132575412</v>
      </c>
      <c r="L19" s="122">
        <f t="shared" si="6"/>
        <v>16907.901559374714</v>
      </c>
      <c r="M19" s="122">
        <f t="shared" si="4"/>
        <v>12427.812394284119</v>
      </c>
    </row>
    <row r="20" spans="2:15" x14ac:dyDescent="0.25">
      <c r="B20" s="119">
        <v>45930</v>
      </c>
      <c r="C20" s="119">
        <v>45991</v>
      </c>
      <c r="D20" s="120">
        <f t="shared" si="1"/>
        <v>138.65756512237803</v>
      </c>
      <c r="F20" s="45">
        <f t="shared" si="2"/>
        <v>4.5</v>
      </c>
      <c r="G20" s="119">
        <f t="shared" si="3"/>
        <v>47299</v>
      </c>
      <c r="H20" s="123">
        <f t="shared" si="7"/>
        <v>167.98282602358859</v>
      </c>
      <c r="I20" s="121">
        <f t="shared" si="8"/>
        <v>2.105047945157752</v>
      </c>
      <c r="J20" s="121">
        <f t="shared" si="0"/>
        <v>0.70728280562407209</v>
      </c>
      <c r="K20" s="122">
        <f t="shared" si="5"/>
        <v>21050.479451577521</v>
      </c>
      <c r="L20" s="122">
        <f t="shared" si="6"/>
        <v>17366.645547551452</v>
      </c>
      <c r="M20" s="122">
        <f t="shared" si="4"/>
        <v>12283.129787150991</v>
      </c>
    </row>
    <row r="21" spans="2:15" x14ac:dyDescent="0.25">
      <c r="B21" s="119">
        <v>45961</v>
      </c>
      <c r="C21" s="119">
        <v>46022</v>
      </c>
      <c r="D21" s="120">
        <f t="shared" si="1"/>
        <v>139.27760000617559</v>
      </c>
      <c r="F21" s="45">
        <f t="shared" si="2"/>
        <v>5</v>
      </c>
      <c r="G21" s="119">
        <f t="shared" si="3"/>
        <v>47483</v>
      </c>
      <c r="H21" s="123">
        <f t="shared" si="7"/>
        <v>172.54052416753916</v>
      </c>
      <c r="I21" s="121">
        <f t="shared" si="8"/>
        <v>2.1621619569867065</v>
      </c>
      <c r="J21" s="121">
        <f t="shared" si="0"/>
        <v>0.68058319703375303</v>
      </c>
      <c r="K21" s="122">
        <f t="shared" si="5"/>
        <v>21621.619569867067</v>
      </c>
      <c r="L21" s="122">
        <f t="shared" si="6"/>
        <v>17837.836145140329</v>
      </c>
      <c r="M21" s="122">
        <f t="shared" si="4"/>
        <v>12140.131551823843</v>
      </c>
    </row>
    <row r="22" spans="2:15" x14ac:dyDescent="0.25">
      <c r="B22" s="119">
        <v>45991</v>
      </c>
      <c r="C22" s="119">
        <v>46053</v>
      </c>
      <c r="D22" s="120">
        <f t="shared" si="1"/>
        <v>139.90040749929156</v>
      </c>
      <c r="F22" s="45">
        <f t="shared" si="2"/>
        <v>5.5</v>
      </c>
      <c r="G22" s="119">
        <f t="shared" si="3"/>
        <v>47664</v>
      </c>
      <c r="H22" s="123">
        <f t="shared" si="7"/>
        <v>177.22188145488605</v>
      </c>
      <c r="I22" s="121">
        <f t="shared" si="8"/>
        <v>2.2208255821414293</v>
      </c>
      <c r="J22" s="121">
        <f t="shared" si="0"/>
        <v>0.65489148668895558</v>
      </c>
      <c r="K22" s="122">
        <f t="shared" si="5"/>
        <v>22208.255821414292</v>
      </c>
      <c r="L22" s="122">
        <f t="shared" si="6"/>
        <v>18321.811052666792</v>
      </c>
      <c r="M22" s="122">
        <f t="shared" si="4"/>
        <v>11998.798079115093</v>
      </c>
    </row>
    <row r="23" spans="2:15" x14ac:dyDescent="0.25">
      <c r="B23" s="119">
        <v>46022</v>
      </c>
      <c r="C23" s="119">
        <v>46081</v>
      </c>
      <c r="D23" s="120">
        <f t="shared" si="1"/>
        <v>140.52600000000001</v>
      </c>
      <c r="F23" s="45">
        <f t="shared" si="2"/>
        <v>6</v>
      </c>
      <c r="G23" s="119">
        <f t="shared" si="3"/>
        <v>47848</v>
      </c>
      <c r="H23" s="123">
        <f t="shared" si="7"/>
        <v>182.03025299675386</v>
      </c>
      <c r="I23" s="121">
        <f t="shared" si="8"/>
        <v>2.2810808646209759</v>
      </c>
      <c r="J23" s="121">
        <f t="shared" si="0"/>
        <v>0.63016962688310452</v>
      </c>
      <c r="K23" s="122">
        <f t="shared" si="5"/>
        <v>22810.808646209764</v>
      </c>
      <c r="L23" s="122">
        <f t="shared" si="6"/>
        <v>18818.917133123054</v>
      </c>
      <c r="M23" s="122">
        <f t="shared" si="4"/>
        <v>11859.109988124217</v>
      </c>
    </row>
    <row r="24" spans="2:15" x14ac:dyDescent="0.25">
      <c r="B24" s="119">
        <v>46053</v>
      </c>
      <c r="C24" s="119">
        <v>46112</v>
      </c>
      <c r="D24" s="120">
        <f t="shared" si="1"/>
        <v>141.15438996201641</v>
      </c>
      <c r="F24" s="45">
        <f t="shared" si="2"/>
        <v>6.5</v>
      </c>
      <c r="G24" s="119">
        <f t="shared" si="3"/>
        <v>48029</v>
      </c>
      <c r="H24" s="123">
        <f t="shared" si="7"/>
        <v>186.9690849349048</v>
      </c>
      <c r="I24" s="121">
        <f t="shared" si="8"/>
        <v>2.3429709891592081</v>
      </c>
      <c r="J24" s="121">
        <f t="shared" si="0"/>
        <v>0.60638100619347735</v>
      </c>
      <c r="K24" s="122">
        <f t="shared" si="5"/>
        <v>23429.709891592083</v>
      </c>
      <c r="L24" s="122">
        <f t="shared" si="6"/>
        <v>19329.510660563468</v>
      </c>
      <c r="M24" s="122">
        <f t="shared" si="4"/>
        <v>11721.048123580023</v>
      </c>
    </row>
    <row r="25" spans="2:15" x14ac:dyDescent="0.25">
      <c r="B25" s="119">
        <v>46081</v>
      </c>
      <c r="C25" s="119">
        <v>46142</v>
      </c>
      <c r="D25" s="120">
        <f t="shared" si="1"/>
        <v>141.78558989474541</v>
      </c>
      <c r="F25" s="45">
        <f t="shared" si="2"/>
        <v>7</v>
      </c>
      <c r="G25" s="119">
        <f t="shared" si="3"/>
        <v>48213</v>
      </c>
      <c r="H25" s="123">
        <f t="shared" si="7"/>
        <v>192.04191691157533</v>
      </c>
      <c r="I25" s="121">
        <f t="shared" si="8"/>
        <v>2.4065403121751294</v>
      </c>
      <c r="J25" s="121">
        <f t="shared" si="0"/>
        <v>0.58349039526213387</v>
      </c>
      <c r="K25" s="122">
        <f t="shared" si="5"/>
        <v>24065.403121751297</v>
      </c>
      <c r="L25" s="122">
        <f t="shared" si="6"/>
        <v>19853.95757544482</v>
      </c>
      <c r="M25" s="122">
        <f t="shared" si="4"/>
        <v>11584.593553213936</v>
      </c>
    </row>
    <row r="26" spans="2:15" x14ac:dyDescent="0.25">
      <c r="B26" s="119">
        <v>46112</v>
      </c>
      <c r="C26" s="119">
        <v>46173</v>
      </c>
      <c r="D26" s="120">
        <f t="shared" si="1"/>
        <v>142.41961236353006</v>
      </c>
      <c r="F26" s="45">
        <f t="shared" si="2"/>
        <v>7.5</v>
      </c>
      <c r="G26" s="119">
        <f t="shared" si="3"/>
        <v>48395</v>
      </c>
      <c r="H26" s="123">
        <f t="shared" si="7"/>
        <v>197.25238460632454</v>
      </c>
      <c r="I26" s="121">
        <f t="shared" si="8"/>
        <v>2.4718343935629643</v>
      </c>
      <c r="J26" s="121">
        <f t="shared" si="0"/>
        <v>0.56146389462359003</v>
      </c>
      <c r="K26" s="122">
        <f t="shared" si="5"/>
        <v>24718.343935629644</v>
      </c>
      <c r="L26" s="122">
        <f t="shared" si="6"/>
        <v>20392.633746894455</v>
      </c>
      <c r="M26" s="122">
        <f t="shared" si="4"/>
        <v>11449.727565163814</v>
      </c>
    </row>
    <row r="27" spans="2:15" x14ac:dyDescent="0.25">
      <c r="B27" s="119">
        <v>46142</v>
      </c>
      <c r="C27" s="119">
        <v>46203</v>
      </c>
      <c r="D27" s="120">
        <f t="shared" si="1"/>
        <v>143.05646998990176</v>
      </c>
      <c r="F27" s="45">
        <f t="shared" si="2"/>
        <v>8</v>
      </c>
      <c r="G27" s="119">
        <f t="shared" si="3"/>
        <v>48579</v>
      </c>
      <c r="H27" s="123">
        <f t="shared" si="7"/>
        <v>202.60422234171193</v>
      </c>
      <c r="I27" s="121">
        <f t="shared" si="8"/>
        <v>2.5389000293447612</v>
      </c>
      <c r="J27" s="121">
        <f t="shared" si="0"/>
        <v>0.54026888450197574</v>
      </c>
      <c r="K27" s="122">
        <f t="shared" si="5"/>
        <v>25389.000293447614</v>
      </c>
      <c r="L27" s="122">
        <f t="shared" si="6"/>
        <v>20945.925242094279</v>
      </c>
      <c r="M27" s="122">
        <f t="shared" si="4"/>
        <v>11316.431665408052</v>
      </c>
    </row>
    <row r="28" spans="2:15" x14ac:dyDescent="0.25">
      <c r="B28" s="119">
        <v>46173</v>
      </c>
      <c r="C28" s="119">
        <v>46234</v>
      </c>
      <c r="D28" s="120">
        <f t="shared" si="1"/>
        <v>143.69617545183161</v>
      </c>
      <c r="F28" s="45">
        <f t="shared" si="2"/>
        <v>8.5</v>
      </c>
      <c r="G28" s="119">
        <f t="shared" si="3"/>
        <v>48760</v>
      </c>
      <c r="H28" s="123">
        <f t="shared" si="7"/>
        <v>208.10126575967243</v>
      </c>
      <c r="I28" s="121">
        <f t="shared" si="8"/>
        <v>2.6077852852089278</v>
      </c>
      <c r="J28" s="121">
        <f t="shared" si="0"/>
        <v>0.51987397650332412</v>
      </c>
      <c r="K28" s="122">
        <f t="shared" si="5"/>
        <v>26077.85285208928</v>
      </c>
      <c r="L28" s="122">
        <f t="shared" si="6"/>
        <v>21514.228602973653</v>
      </c>
      <c r="M28" s="122">
        <f t="shared" si="4"/>
        <v>11184.687575229469</v>
      </c>
    </row>
    <row r="29" spans="2:15" x14ac:dyDescent="0.25">
      <c r="B29" s="119">
        <v>46203</v>
      </c>
      <c r="C29" s="119">
        <v>46265</v>
      </c>
      <c r="D29" s="120">
        <f t="shared" si="1"/>
        <v>144.33874148398277</v>
      </c>
      <c r="F29" s="45">
        <f t="shared" si="2"/>
        <v>9</v>
      </c>
      <c r="G29" s="119">
        <f t="shared" si="3"/>
        <v>48944</v>
      </c>
      <c r="H29" s="123">
        <f t="shared" si="7"/>
        <v>213.74745457050616</v>
      </c>
      <c r="I29" s="121">
        <f t="shared" si="8"/>
        <v>2.6785395309587239</v>
      </c>
      <c r="J29" s="121">
        <f t="shared" si="0"/>
        <v>0.50024896713145905</v>
      </c>
      <c r="K29" s="122">
        <f t="shared" si="5"/>
        <v>26785.395309587238</v>
      </c>
      <c r="L29" s="122">
        <f t="shared" si="6"/>
        <v>22097.95113040947</v>
      </c>
      <c r="M29" s="122">
        <f t="shared" si="4"/>
        <v>11054.477228708796</v>
      </c>
    </row>
    <row r="30" spans="2:15" x14ac:dyDescent="0.25">
      <c r="B30" s="119">
        <v>46234</v>
      </c>
      <c r="C30" s="119">
        <v>46295</v>
      </c>
      <c r="D30" s="120">
        <f t="shared" si="1"/>
        <v>144.98418087796406</v>
      </c>
      <c r="F30" s="45">
        <f t="shared" si="2"/>
        <v>9.5</v>
      </c>
      <c r="G30" s="119">
        <f t="shared" si="3"/>
        <v>49125</v>
      </c>
      <c r="H30" s="123">
        <f t="shared" si="7"/>
        <v>219.54683537645442</v>
      </c>
      <c r="I30" s="121">
        <f t="shared" si="8"/>
        <v>2.751213475895419</v>
      </c>
      <c r="J30" s="121">
        <f t="shared" si="0"/>
        <v>0.48136479305863344</v>
      </c>
      <c r="K30" s="122">
        <f t="shared" si="5"/>
        <v>27512.134758954187</v>
      </c>
      <c r="L30" s="122">
        <f t="shared" si="6"/>
        <v>22697.511176137203</v>
      </c>
      <c r="M30" s="122">
        <f t="shared" si="4"/>
        <v>10925.782770247304</v>
      </c>
    </row>
    <row r="31" spans="2:15" x14ac:dyDescent="0.25">
      <c r="B31" s="119">
        <v>46265</v>
      </c>
      <c r="C31" s="119">
        <v>46326</v>
      </c>
      <c r="D31" s="120">
        <f t="shared" si="1"/>
        <v>145.63250648258443</v>
      </c>
      <c r="F31" s="45">
        <f t="shared" si="2"/>
        <v>10</v>
      </c>
      <c r="G31" s="119">
        <f t="shared" si="3"/>
        <v>49309</v>
      </c>
      <c r="H31" s="123">
        <f t="shared" si="7"/>
        <v>225.50356457188403</v>
      </c>
      <c r="I31" s="121">
        <f t="shared" si="8"/>
        <v>2.8258592051614539</v>
      </c>
      <c r="J31" s="121">
        <f t="shared" si="0"/>
        <v>0.46319348808468425</v>
      </c>
      <c r="K31" s="122">
        <f t="shared" si="5"/>
        <v>28258.592051614542</v>
      </c>
      <c r="L31" s="122">
        <f t="shared" si="6"/>
        <v>23313.338442581997</v>
      </c>
      <c r="M31" s="122">
        <f t="shared" si="4"/>
        <v>10798.586552118315</v>
      </c>
      <c r="N31" s="112">
        <f>I31*B1</f>
        <v>2825859.2051614542</v>
      </c>
      <c r="O31" s="112">
        <f>N31*J31</f>
        <v>1308919.5820749474</v>
      </c>
    </row>
    <row r="32" spans="2:15" x14ac:dyDescent="0.25">
      <c r="B32" s="119">
        <v>46295</v>
      </c>
      <c r="C32" s="119">
        <v>46356</v>
      </c>
      <c r="D32" s="120">
        <f t="shared" si="1"/>
        <v>146.28373120410888</v>
      </c>
      <c r="G32" s="119"/>
      <c r="H32" s="115"/>
      <c r="I32" s="121"/>
      <c r="J32" s="121"/>
      <c r="K32" s="121"/>
      <c r="L32" s="79"/>
      <c r="M32" s="122"/>
      <c r="N32" s="122"/>
      <c r="O32" s="112"/>
    </row>
    <row r="33" spans="2:17" x14ac:dyDescent="0.25">
      <c r="B33" s="119">
        <v>46326</v>
      </c>
      <c r="C33" s="119">
        <v>46387</v>
      </c>
      <c r="D33" s="120">
        <f t="shared" si="1"/>
        <v>146.93786800651529</v>
      </c>
      <c r="G33" s="119"/>
      <c r="Q33" s="121"/>
    </row>
    <row r="34" spans="2:17" x14ac:dyDescent="0.25">
      <c r="B34" s="119">
        <v>46356</v>
      </c>
      <c r="C34" s="119">
        <v>46418</v>
      </c>
      <c r="D34" s="120">
        <f t="shared" si="1"/>
        <v>147.59492991175264</v>
      </c>
    </row>
    <row r="35" spans="2:17" x14ac:dyDescent="0.25">
      <c r="B35" s="119">
        <v>46387</v>
      </c>
      <c r="C35" s="119">
        <v>46446</v>
      </c>
      <c r="D35" s="120">
        <f t="shared" si="1"/>
        <v>148.25493000000006</v>
      </c>
    </row>
    <row r="36" spans="2:17" x14ac:dyDescent="0.25">
      <c r="B36" s="119">
        <v>46418</v>
      </c>
      <c r="C36" s="119">
        <v>46477</v>
      </c>
      <c r="D36" s="120">
        <f t="shared" si="1"/>
        <v>148.91788140992736</v>
      </c>
    </row>
    <row r="37" spans="2:17" x14ac:dyDescent="0.25">
      <c r="B37" s="119">
        <v>46446</v>
      </c>
      <c r="C37" s="119">
        <v>46507</v>
      </c>
      <c r="D37" s="120">
        <f t="shared" si="1"/>
        <v>149.58379733895649</v>
      </c>
    </row>
    <row r="38" spans="2:17" x14ac:dyDescent="0.25">
      <c r="B38" s="119">
        <v>46477</v>
      </c>
      <c r="C38" s="119">
        <v>46538</v>
      </c>
      <c r="D38" s="120">
        <f t="shared" si="1"/>
        <v>150.25269104352429</v>
      </c>
    </row>
    <row r="39" spans="2:17" x14ac:dyDescent="0.25">
      <c r="B39" s="119">
        <v>46507</v>
      </c>
      <c r="C39" s="119">
        <v>46568</v>
      </c>
      <c r="D39" s="120">
        <f t="shared" si="1"/>
        <v>150.92457583934643</v>
      </c>
    </row>
    <row r="40" spans="2:17" x14ac:dyDescent="0.25">
      <c r="B40" s="119">
        <v>46538</v>
      </c>
      <c r="C40" s="119">
        <v>46599</v>
      </c>
      <c r="D40" s="120">
        <f t="shared" si="1"/>
        <v>151.59946510168243</v>
      </c>
    </row>
    <row r="41" spans="2:17" x14ac:dyDescent="0.25">
      <c r="B41" s="119">
        <v>46568</v>
      </c>
      <c r="C41" s="119">
        <v>46630</v>
      </c>
      <c r="D41" s="120">
        <f t="shared" si="1"/>
        <v>152.27737226560191</v>
      </c>
    </row>
    <row r="42" spans="2:17" x14ac:dyDescent="0.25">
      <c r="B42" s="119">
        <v>46599</v>
      </c>
      <c r="C42" s="119">
        <v>46660</v>
      </c>
      <c r="D42" s="120">
        <f t="shared" si="1"/>
        <v>152.95831082625216</v>
      </c>
    </row>
    <row r="43" spans="2:17" x14ac:dyDescent="0.25">
      <c r="B43" s="119">
        <v>46630</v>
      </c>
      <c r="C43" s="119">
        <v>46691</v>
      </c>
      <c r="D43" s="120">
        <f t="shared" si="1"/>
        <v>153.64229433912664</v>
      </c>
    </row>
    <row r="44" spans="2:17" x14ac:dyDescent="0.25">
      <c r="B44" s="119">
        <v>46660</v>
      </c>
      <c r="C44" s="119">
        <v>46721</v>
      </c>
      <c r="D44" s="120">
        <f t="shared" ref="D44:D75" si="9">D43*(1+$B$5)</f>
        <v>154.32933642033493</v>
      </c>
    </row>
    <row r="45" spans="2:17" x14ac:dyDescent="0.25">
      <c r="B45" s="119">
        <v>46691</v>
      </c>
      <c r="C45" s="119">
        <v>46752</v>
      </c>
      <c r="D45" s="120">
        <f t="shared" si="9"/>
        <v>155.0194507468737</v>
      </c>
    </row>
    <row r="46" spans="2:17" x14ac:dyDescent="0.25">
      <c r="B46" s="119">
        <v>46721</v>
      </c>
      <c r="C46" s="119">
        <v>46783</v>
      </c>
      <c r="D46" s="120">
        <f t="shared" si="9"/>
        <v>155.71265105689909</v>
      </c>
    </row>
    <row r="47" spans="2:17" x14ac:dyDescent="0.25">
      <c r="B47" s="119">
        <v>46752</v>
      </c>
      <c r="C47" s="119">
        <v>46812</v>
      </c>
      <c r="D47" s="120">
        <f t="shared" si="9"/>
        <v>156.40895115000012</v>
      </c>
    </row>
    <row r="48" spans="2:17" x14ac:dyDescent="0.25">
      <c r="B48" s="119">
        <v>46783</v>
      </c>
      <c r="C48" s="119">
        <v>46843</v>
      </c>
      <c r="D48" s="120">
        <f t="shared" si="9"/>
        <v>157.10836488747341</v>
      </c>
    </row>
    <row r="49" spans="2:4" x14ac:dyDescent="0.25">
      <c r="B49" s="119">
        <v>46812</v>
      </c>
      <c r="C49" s="119">
        <v>46873</v>
      </c>
      <c r="D49" s="120">
        <f t="shared" si="9"/>
        <v>157.81090619259913</v>
      </c>
    </row>
    <row r="50" spans="2:4" x14ac:dyDescent="0.25">
      <c r="B50" s="119">
        <v>46843</v>
      </c>
      <c r="C50" s="119">
        <v>46904</v>
      </c>
      <c r="D50" s="120">
        <f t="shared" si="9"/>
        <v>158.51658905091816</v>
      </c>
    </row>
    <row r="51" spans="2:4" x14ac:dyDescent="0.25">
      <c r="B51" s="119">
        <v>46873</v>
      </c>
      <c r="C51" s="119">
        <v>46934</v>
      </c>
      <c r="D51" s="120">
        <f t="shared" si="9"/>
        <v>159.22542751051051</v>
      </c>
    </row>
    <row r="52" spans="2:4" x14ac:dyDescent="0.25">
      <c r="B52" s="119">
        <v>46904</v>
      </c>
      <c r="C52" s="119">
        <v>46965</v>
      </c>
      <c r="D52" s="120">
        <f t="shared" si="9"/>
        <v>159.93743568227498</v>
      </c>
    </row>
    <row r="53" spans="2:4" x14ac:dyDescent="0.25">
      <c r="B53" s="119">
        <v>46934</v>
      </c>
      <c r="C53" s="119">
        <v>46996</v>
      </c>
      <c r="D53" s="120">
        <f t="shared" si="9"/>
        <v>160.65262774021005</v>
      </c>
    </row>
    <row r="54" spans="2:4" x14ac:dyDescent="0.25">
      <c r="B54" s="119">
        <v>46965</v>
      </c>
      <c r="C54" s="119">
        <v>47026</v>
      </c>
      <c r="D54" s="120">
        <f t="shared" si="9"/>
        <v>161.37101792169605</v>
      </c>
    </row>
    <row r="55" spans="2:4" x14ac:dyDescent="0.25">
      <c r="B55" s="119">
        <v>46996</v>
      </c>
      <c r="C55" s="119">
        <v>47057</v>
      </c>
      <c r="D55" s="120">
        <f t="shared" si="9"/>
        <v>162.09262052777862</v>
      </c>
    </row>
    <row r="56" spans="2:4" x14ac:dyDescent="0.25">
      <c r="B56" s="119">
        <v>47026</v>
      </c>
      <c r="C56" s="119">
        <v>47087</v>
      </c>
      <c r="D56" s="120">
        <f t="shared" si="9"/>
        <v>162.81744992345335</v>
      </c>
    </row>
    <row r="57" spans="2:4" x14ac:dyDescent="0.25">
      <c r="B57" s="119">
        <v>47057</v>
      </c>
      <c r="C57" s="119">
        <v>47118</v>
      </c>
      <c r="D57" s="120">
        <f t="shared" si="9"/>
        <v>163.54552053795177</v>
      </c>
    </row>
    <row r="58" spans="2:4" x14ac:dyDescent="0.25">
      <c r="B58" s="119">
        <v>47087</v>
      </c>
      <c r="C58" s="119">
        <v>47149</v>
      </c>
      <c r="D58" s="120">
        <f t="shared" si="9"/>
        <v>164.27684686502857</v>
      </c>
    </row>
    <row r="59" spans="2:4" x14ac:dyDescent="0.25">
      <c r="B59" s="119">
        <v>47118</v>
      </c>
      <c r="C59" s="119">
        <v>47177</v>
      </c>
      <c r="D59" s="120">
        <f t="shared" si="9"/>
        <v>165.01144346325017</v>
      </c>
    </row>
    <row r="60" spans="2:4" x14ac:dyDescent="0.25">
      <c r="B60" s="119">
        <v>47149</v>
      </c>
      <c r="C60" s="119">
        <v>47208</v>
      </c>
      <c r="D60" s="120">
        <f t="shared" si="9"/>
        <v>165.74932495628448</v>
      </c>
    </row>
    <row r="61" spans="2:4" x14ac:dyDescent="0.25">
      <c r="B61" s="119">
        <v>47177</v>
      </c>
      <c r="C61" s="119">
        <v>47238</v>
      </c>
      <c r="D61" s="120">
        <f t="shared" si="9"/>
        <v>166.4905060331921</v>
      </c>
    </row>
    <row r="62" spans="2:4" x14ac:dyDescent="0.25">
      <c r="B62" s="119">
        <v>47208</v>
      </c>
      <c r="C62" s="119">
        <v>47269</v>
      </c>
      <c r="D62" s="120">
        <f t="shared" si="9"/>
        <v>167.23500144871866</v>
      </c>
    </row>
    <row r="63" spans="2:4" x14ac:dyDescent="0.25">
      <c r="B63" s="119">
        <v>47238</v>
      </c>
      <c r="C63" s="119">
        <v>47299</v>
      </c>
      <c r="D63" s="120">
        <f t="shared" si="9"/>
        <v>167.98282602358859</v>
      </c>
    </row>
    <row r="64" spans="2:4" x14ac:dyDescent="0.25">
      <c r="B64" s="119">
        <v>47269</v>
      </c>
      <c r="C64" s="119">
        <v>47330</v>
      </c>
      <c r="D64" s="120">
        <f t="shared" si="9"/>
        <v>168.73399464480011</v>
      </c>
    </row>
    <row r="65" spans="2:4" x14ac:dyDescent="0.25">
      <c r="B65" s="119">
        <v>47299</v>
      </c>
      <c r="C65" s="119">
        <v>47361</v>
      </c>
      <c r="D65" s="120">
        <f t="shared" si="9"/>
        <v>169.4885222659216</v>
      </c>
    </row>
    <row r="66" spans="2:4" x14ac:dyDescent="0.25">
      <c r="B66" s="119">
        <v>47330</v>
      </c>
      <c r="C66" s="119">
        <v>47391</v>
      </c>
      <c r="D66" s="120">
        <f t="shared" si="9"/>
        <v>170.24642390738936</v>
      </c>
    </row>
    <row r="67" spans="2:4" x14ac:dyDescent="0.25">
      <c r="B67" s="119">
        <v>47361</v>
      </c>
      <c r="C67" s="119">
        <v>47422</v>
      </c>
      <c r="D67" s="120">
        <f t="shared" si="9"/>
        <v>171.00771465680648</v>
      </c>
    </row>
    <row r="68" spans="2:4" x14ac:dyDescent="0.25">
      <c r="B68" s="119">
        <v>47391</v>
      </c>
      <c r="C68" s="119">
        <v>47452</v>
      </c>
      <c r="D68" s="120">
        <f t="shared" si="9"/>
        <v>171.77240966924333</v>
      </c>
    </row>
    <row r="69" spans="2:4" x14ac:dyDescent="0.25">
      <c r="B69" s="119">
        <v>47422</v>
      </c>
      <c r="C69" s="119">
        <v>47483</v>
      </c>
      <c r="D69" s="120">
        <f t="shared" si="9"/>
        <v>172.54052416753916</v>
      </c>
    </row>
    <row r="70" spans="2:4" x14ac:dyDescent="0.25">
      <c r="B70" s="119">
        <v>47452</v>
      </c>
      <c r="C70" s="119">
        <v>47514</v>
      </c>
      <c r="D70" s="120">
        <f t="shared" si="9"/>
        <v>173.31207344260517</v>
      </c>
    </row>
    <row r="71" spans="2:4" x14ac:dyDescent="0.25">
      <c r="B71" s="119">
        <v>47483</v>
      </c>
      <c r="C71" s="119">
        <v>47542</v>
      </c>
      <c r="D71" s="120">
        <f t="shared" si="9"/>
        <v>174.08707285372896</v>
      </c>
    </row>
    <row r="72" spans="2:4" x14ac:dyDescent="0.25">
      <c r="B72" s="119">
        <v>47514</v>
      </c>
      <c r="C72" s="119">
        <v>47573</v>
      </c>
      <c r="D72" s="120">
        <f t="shared" si="9"/>
        <v>174.86553782888018</v>
      </c>
    </row>
    <row r="73" spans="2:4" x14ac:dyDescent="0.25">
      <c r="B73" s="119">
        <v>47542</v>
      </c>
      <c r="C73" s="119">
        <v>47603</v>
      </c>
      <c r="D73" s="120">
        <f t="shared" si="9"/>
        <v>175.64748386501773</v>
      </c>
    </row>
    <row r="74" spans="2:4" x14ac:dyDescent="0.25">
      <c r="B74" s="119">
        <v>47573</v>
      </c>
      <c r="C74" s="119">
        <v>47634</v>
      </c>
      <c r="D74" s="120">
        <f t="shared" si="9"/>
        <v>176.43292652839827</v>
      </c>
    </row>
    <row r="75" spans="2:4" x14ac:dyDescent="0.25">
      <c r="B75" s="119">
        <v>47603</v>
      </c>
      <c r="C75" s="119">
        <v>47664</v>
      </c>
      <c r="D75" s="120">
        <f t="shared" si="9"/>
        <v>177.22188145488605</v>
      </c>
    </row>
    <row r="76" spans="2:4" x14ac:dyDescent="0.25">
      <c r="B76" s="119">
        <v>47634</v>
      </c>
      <c r="C76" s="119">
        <v>47695</v>
      </c>
      <c r="D76" s="120">
        <f t="shared" ref="D76:D107" si="10">D75*(1+$B$5)</f>
        <v>178.01436435026417</v>
      </c>
    </row>
    <row r="77" spans="2:4" x14ac:dyDescent="0.25">
      <c r="B77" s="119">
        <v>47664</v>
      </c>
      <c r="C77" s="119">
        <v>47726</v>
      </c>
      <c r="D77" s="120">
        <f t="shared" si="10"/>
        <v>178.81039099054735</v>
      </c>
    </row>
    <row r="78" spans="2:4" x14ac:dyDescent="0.25">
      <c r="B78" s="119">
        <v>47695</v>
      </c>
      <c r="C78" s="119">
        <v>47756</v>
      </c>
      <c r="D78" s="120">
        <f t="shared" si="10"/>
        <v>179.60997722229581</v>
      </c>
    </row>
    <row r="79" spans="2:4" x14ac:dyDescent="0.25">
      <c r="B79" s="119">
        <v>47726</v>
      </c>
      <c r="C79" s="119">
        <v>47787</v>
      </c>
      <c r="D79" s="120">
        <f t="shared" si="10"/>
        <v>180.41313896293087</v>
      </c>
    </row>
    <row r="80" spans="2:4" x14ac:dyDescent="0.25">
      <c r="B80" s="119">
        <v>47756</v>
      </c>
      <c r="C80" s="119">
        <v>47817</v>
      </c>
      <c r="D80" s="120">
        <f t="shared" si="10"/>
        <v>181.21989220105175</v>
      </c>
    </row>
    <row r="81" spans="2:4" x14ac:dyDescent="0.25">
      <c r="B81" s="119">
        <v>47787</v>
      </c>
      <c r="C81" s="119">
        <v>47848</v>
      </c>
      <c r="D81" s="120">
        <f t="shared" si="10"/>
        <v>182.03025299675386</v>
      </c>
    </row>
    <row r="82" spans="2:4" x14ac:dyDescent="0.25">
      <c r="B82" s="119">
        <v>47817</v>
      </c>
      <c r="C82" s="119">
        <v>47879</v>
      </c>
      <c r="D82" s="120">
        <f t="shared" si="10"/>
        <v>182.84423748194851</v>
      </c>
    </row>
    <row r="83" spans="2:4" x14ac:dyDescent="0.25">
      <c r="B83" s="119">
        <v>47848</v>
      </c>
      <c r="C83" s="119">
        <v>47907</v>
      </c>
      <c r="D83" s="120">
        <f t="shared" si="10"/>
        <v>183.6618618606841</v>
      </c>
    </row>
    <row r="84" spans="2:4" x14ac:dyDescent="0.25">
      <c r="B84" s="119">
        <v>47879</v>
      </c>
      <c r="C84" s="119">
        <v>47938</v>
      </c>
      <c r="D84" s="120">
        <f t="shared" si="10"/>
        <v>184.48314240946863</v>
      </c>
    </row>
    <row r="85" spans="2:4" x14ac:dyDescent="0.25">
      <c r="B85" s="119">
        <v>47907</v>
      </c>
      <c r="C85" s="119">
        <v>47968</v>
      </c>
      <c r="D85" s="120">
        <f t="shared" si="10"/>
        <v>185.30809547759375</v>
      </c>
    </row>
    <row r="86" spans="2:4" x14ac:dyDescent="0.25">
      <c r="B86" s="119">
        <v>47938</v>
      </c>
      <c r="C86" s="119">
        <v>47999</v>
      </c>
      <c r="D86" s="120">
        <f t="shared" si="10"/>
        <v>186.13673748746021</v>
      </c>
    </row>
    <row r="87" spans="2:4" x14ac:dyDescent="0.25">
      <c r="B87" s="119">
        <v>47968</v>
      </c>
      <c r="C87" s="119">
        <v>48029</v>
      </c>
      <c r="D87" s="120">
        <f t="shared" si="10"/>
        <v>186.9690849349048</v>
      </c>
    </row>
    <row r="88" spans="2:4" x14ac:dyDescent="0.25">
      <c r="B88" s="119">
        <v>47999</v>
      </c>
      <c r="C88" s="119">
        <v>48060</v>
      </c>
      <c r="D88" s="120">
        <f t="shared" si="10"/>
        <v>187.80515438952872</v>
      </c>
    </row>
    <row r="89" spans="2:4" x14ac:dyDescent="0.25">
      <c r="B89" s="119">
        <v>48029</v>
      </c>
      <c r="C89" s="119">
        <v>48091</v>
      </c>
      <c r="D89" s="120">
        <f t="shared" si="10"/>
        <v>188.64496249502747</v>
      </c>
    </row>
    <row r="90" spans="2:4" x14ac:dyDescent="0.25">
      <c r="B90" s="119">
        <v>48060</v>
      </c>
      <c r="C90" s="119">
        <v>48121</v>
      </c>
      <c r="D90" s="120">
        <f t="shared" si="10"/>
        <v>189.4885259695221</v>
      </c>
    </row>
    <row r="91" spans="2:4" x14ac:dyDescent="0.25">
      <c r="B91" s="119">
        <v>48091</v>
      </c>
      <c r="C91" s="119">
        <v>48152</v>
      </c>
      <c r="D91" s="120">
        <f t="shared" si="10"/>
        <v>190.33586160589209</v>
      </c>
    </row>
    <row r="92" spans="2:4" x14ac:dyDescent="0.25">
      <c r="B92" s="119">
        <v>48121</v>
      </c>
      <c r="C92" s="119">
        <v>48182</v>
      </c>
      <c r="D92" s="120">
        <f t="shared" si="10"/>
        <v>191.18698627210961</v>
      </c>
    </row>
    <row r="93" spans="2:4" x14ac:dyDescent="0.25">
      <c r="B93" s="119">
        <v>48152</v>
      </c>
      <c r="C93" s="119">
        <v>48213</v>
      </c>
      <c r="D93" s="120">
        <f t="shared" si="10"/>
        <v>192.04191691157533</v>
      </c>
    </row>
    <row r="94" spans="2:4" x14ac:dyDescent="0.25">
      <c r="B94" s="119">
        <v>48182</v>
      </c>
      <c r="C94" s="119">
        <v>48244</v>
      </c>
      <c r="D94" s="120">
        <f t="shared" si="10"/>
        <v>192.90067054345567</v>
      </c>
    </row>
    <row r="95" spans="2:4" x14ac:dyDescent="0.25">
      <c r="B95" s="119">
        <v>48213</v>
      </c>
      <c r="C95" s="119">
        <v>48273</v>
      </c>
      <c r="D95" s="120">
        <f t="shared" si="10"/>
        <v>193.76326426302171</v>
      </c>
    </row>
    <row r="96" spans="2:4" x14ac:dyDescent="0.25">
      <c r="B96" s="119">
        <v>48244</v>
      </c>
      <c r="C96" s="119">
        <v>48304</v>
      </c>
      <c r="D96" s="120">
        <f t="shared" si="10"/>
        <v>194.62971524198937</v>
      </c>
    </row>
    <row r="97" spans="2:4" x14ac:dyDescent="0.25">
      <c r="B97" s="119">
        <v>48273</v>
      </c>
      <c r="C97" s="119">
        <v>48334</v>
      </c>
      <c r="D97" s="120">
        <f t="shared" si="10"/>
        <v>195.50004072886136</v>
      </c>
    </row>
    <row r="98" spans="2:4" x14ac:dyDescent="0.25">
      <c r="B98" s="119">
        <v>48304</v>
      </c>
      <c r="C98" s="119">
        <v>48365</v>
      </c>
      <c r="D98" s="120">
        <f t="shared" si="10"/>
        <v>196.37425804927048</v>
      </c>
    </row>
    <row r="99" spans="2:4" x14ac:dyDescent="0.25">
      <c r="B99" s="119">
        <v>48334</v>
      </c>
      <c r="C99" s="119">
        <v>48395</v>
      </c>
      <c r="D99" s="120">
        <f t="shared" si="10"/>
        <v>197.25238460632454</v>
      </c>
    </row>
    <row r="100" spans="2:4" x14ac:dyDescent="0.25">
      <c r="B100" s="119">
        <v>48365</v>
      </c>
      <c r="C100" s="119">
        <v>48426</v>
      </c>
      <c r="D100" s="120">
        <f t="shared" si="10"/>
        <v>198.13443788095279</v>
      </c>
    </row>
    <row r="101" spans="2:4" x14ac:dyDescent="0.25">
      <c r="B101" s="119">
        <v>48395</v>
      </c>
      <c r="C101" s="119">
        <v>48457</v>
      </c>
      <c r="D101" s="120">
        <f t="shared" si="10"/>
        <v>199.02043543225398</v>
      </c>
    </row>
    <row r="102" spans="2:4" x14ac:dyDescent="0.25">
      <c r="B102" s="119">
        <v>48426</v>
      </c>
      <c r="C102" s="119">
        <v>48487</v>
      </c>
      <c r="D102" s="120">
        <f t="shared" si="10"/>
        <v>199.9103948978458</v>
      </c>
    </row>
    <row r="103" spans="2:4" x14ac:dyDescent="0.25">
      <c r="B103" s="119">
        <v>48457</v>
      </c>
      <c r="C103" s="119">
        <v>48518</v>
      </c>
      <c r="D103" s="120">
        <f t="shared" si="10"/>
        <v>200.80433399421614</v>
      </c>
    </row>
    <row r="104" spans="2:4" x14ac:dyDescent="0.25">
      <c r="B104" s="119">
        <v>48487</v>
      </c>
      <c r="C104" s="119">
        <v>48548</v>
      </c>
      <c r="D104" s="120">
        <f t="shared" si="10"/>
        <v>201.70227051707562</v>
      </c>
    </row>
    <row r="105" spans="2:4" x14ac:dyDescent="0.25">
      <c r="B105" s="119">
        <v>48518</v>
      </c>
      <c r="C105" s="119">
        <v>48579</v>
      </c>
      <c r="D105" s="120">
        <f t="shared" si="10"/>
        <v>202.60422234171193</v>
      </c>
    </row>
    <row r="106" spans="2:4" x14ac:dyDescent="0.25">
      <c r="B106" s="119">
        <v>48548</v>
      </c>
      <c r="C106" s="119">
        <v>48610</v>
      </c>
      <c r="D106" s="120">
        <f t="shared" si="10"/>
        <v>203.51020742334572</v>
      </c>
    </row>
    <row r="107" spans="2:4" x14ac:dyDescent="0.25">
      <c r="B107" s="119">
        <v>48579</v>
      </c>
      <c r="C107" s="119">
        <v>48638</v>
      </c>
      <c r="D107" s="120">
        <f t="shared" si="10"/>
        <v>204.4202437974879</v>
      </c>
    </row>
    <row r="108" spans="2:4" x14ac:dyDescent="0.25">
      <c r="B108" s="119">
        <v>48610</v>
      </c>
      <c r="C108" s="119">
        <v>48669</v>
      </c>
      <c r="D108" s="120">
        <f t="shared" ref="D108:D131" si="11">D107*(1+$B$5)</f>
        <v>205.33434958029881</v>
      </c>
    </row>
    <row r="109" spans="2:4" x14ac:dyDescent="0.25">
      <c r="B109" s="119">
        <v>48638</v>
      </c>
      <c r="C109" s="119">
        <v>48699</v>
      </c>
      <c r="D109" s="120">
        <f t="shared" si="11"/>
        <v>206.25254296894877</v>
      </c>
    </row>
    <row r="110" spans="2:4" x14ac:dyDescent="0.25">
      <c r="B110" s="119">
        <v>48669</v>
      </c>
      <c r="C110" s="119">
        <v>48730</v>
      </c>
      <c r="D110" s="120">
        <f t="shared" si="11"/>
        <v>207.1748422419804</v>
      </c>
    </row>
    <row r="111" spans="2:4" x14ac:dyDescent="0.25">
      <c r="B111" s="119">
        <v>48699</v>
      </c>
      <c r="C111" s="119">
        <v>48760</v>
      </c>
      <c r="D111" s="120">
        <f t="shared" si="11"/>
        <v>208.10126575967243</v>
      </c>
    </row>
    <row r="112" spans="2:4" x14ac:dyDescent="0.25">
      <c r="B112" s="119">
        <v>48730</v>
      </c>
      <c r="C112" s="119">
        <v>48791</v>
      </c>
      <c r="D112" s="120">
        <f t="shared" si="11"/>
        <v>209.03183196440523</v>
      </c>
    </row>
    <row r="113" spans="2:4" x14ac:dyDescent="0.25">
      <c r="B113" s="119">
        <v>48760</v>
      </c>
      <c r="C113" s="119">
        <v>48822</v>
      </c>
      <c r="D113" s="120">
        <f t="shared" si="11"/>
        <v>209.96655938102799</v>
      </c>
    </row>
    <row r="114" spans="2:4" x14ac:dyDescent="0.25">
      <c r="B114" s="119">
        <v>48791</v>
      </c>
      <c r="C114" s="119">
        <v>48852</v>
      </c>
      <c r="D114" s="120">
        <f t="shared" si="11"/>
        <v>210.90546661722738</v>
      </c>
    </row>
    <row r="115" spans="2:4" x14ac:dyDescent="0.25">
      <c r="B115" s="119">
        <v>48822</v>
      </c>
      <c r="C115" s="119">
        <v>48883</v>
      </c>
      <c r="D115" s="120">
        <f t="shared" si="11"/>
        <v>211.84857236389809</v>
      </c>
    </row>
    <row r="116" spans="2:4" x14ac:dyDescent="0.25">
      <c r="B116" s="119">
        <v>48852</v>
      </c>
      <c r="C116" s="119">
        <v>48913</v>
      </c>
      <c r="D116" s="120">
        <f t="shared" si="11"/>
        <v>212.79589539551483</v>
      </c>
    </row>
    <row r="117" spans="2:4" x14ac:dyDescent="0.25">
      <c r="B117" s="119">
        <v>48883</v>
      </c>
      <c r="C117" s="119">
        <v>48944</v>
      </c>
      <c r="D117" s="120">
        <f t="shared" si="11"/>
        <v>213.74745457050616</v>
      </c>
    </row>
    <row r="118" spans="2:4" x14ac:dyDescent="0.25">
      <c r="B118" s="119">
        <v>48913</v>
      </c>
      <c r="C118" s="119">
        <v>48975</v>
      </c>
      <c r="D118" s="120">
        <f t="shared" si="11"/>
        <v>214.7032688316298</v>
      </c>
    </row>
    <row r="119" spans="2:4" x14ac:dyDescent="0.25">
      <c r="B119" s="119">
        <v>48944</v>
      </c>
      <c r="C119" s="119">
        <v>49003</v>
      </c>
      <c r="D119" s="120">
        <f t="shared" si="11"/>
        <v>215.66335720634979</v>
      </c>
    </row>
    <row r="120" spans="2:4" x14ac:dyDescent="0.25">
      <c r="B120" s="119">
        <v>48975</v>
      </c>
      <c r="C120" s="119">
        <v>49034</v>
      </c>
      <c r="D120" s="120">
        <f t="shared" si="11"/>
        <v>216.62773880721528</v>
      </c>
    </row>
    <row r="121" spans="2:4" x14ac:dyDescent="0.25">
      <c r="B121" s="119">
        <v>49003</v>
      </c>
      <c r="C121" s="119">
        <v>49064</v>
      </c>
      <c r="D121" s="120">
        <f t="shared" si="11"/>
        <v>217.59643283224099</v>
      </c>
    </row>
    <row r="122" spans="2:4" x14ac:dyDescent="0.25">
      <c r="B122" s="119">
        <v>49034</v>
      </c>
      <c r="C122" s="119">
        <v>49095</v>
      </c>
      <c r="D122" s="120">
        <f t="shared" si="11"/>
        <v>218.56945856528935</v>
      </c>
    </row>
    <row r="123" spans="2:4" x14ac:dyDescent="0.25">
      <c r="B123" s="119">
        <v>49064</v>
      </c>
      <c r="C123" s="119">
        <v>49125</v>
      </c>
      <c r="D123" s="120">
        <f t="shared" si="11"/>
        <v>219.54683537645442</v>
      </c>
    </row>
    <row r="124" spans="2:4" x14ac:dyDescent="0.25">
      <c r="B124" s="119">
        <v>49095</v>
      </c>
      <c r="C124" s="119">
        <v>49156</v>
      </c>
      <c r="D124" s="120">
        <f t="shared" si="11"/>
        <v>220.52858272244754</v>
      </c>
    </row>
    <row r="125" spans="2:4" x14ac:dyDescent="0.25">
      <c r="B125" s="119">
        <v>49125</v>
      </c>
      <c r="C125" s="119">
        <v>49187</v>
      </c>
      <c r="D125" s="120">
        <f t="shared" si="11"/>
        <v>221.51472014698453</v>
      </c>
    </row>
    <row r="126" spans="2:4" x14ac:dyDescent="0.25">
      <c r="B126" s="119">
        <v>49156</v>
      </c>
      <c r="C126" s="119">
        <v>49217</v>
      </c>
      <c r="D126" s="120">
        <f t="shared" si="11"/>
        <v>222.50526728117489</v>
      </c>
    </row>
    <row r="127" spans="2:4" x14ac:dyDescent="0.25">
      <c r="B127" s="119">
        <v>49187</v>
      </c>
      <c r="C127" s="119">
        <v>49248</v>
      </c>
      <c r="D127" s="120">
        <f t="shared" si="11"/>
        <v>223.5002438439125</v>
      </c>
    </row>
    <row r="128" spans="2:4" x14ac:dyDescent="0.25">
      <c r="B128" s="119">
        <v>49217</v>
      </c>
      <c r="C128" s="119">
        <v>49278</v>
      </c>
      <c r="D128" s="120">
        <f t="shared" si="11"/>
        <v>224.49966964226817</v>
      </c>
    </row>
    <row r="129" spans="2:4" x14ac:dyDescent="0.25">
      <c r="B129" s="119">
        <v>49248</v>
      </c>
      <c r="C129" s="119">
        <v>49309</v>
      </c>
      <c r="D129" s="120">
        <f t="shared" si="11"/>
        <v>225.50356457188403</v>
      </c>
    </row>
    <row r="130" spans="2:4" x14ac:dyDescent="0.25">
      <c r="B130" s="119">
        <v>49278</v>
      </c>
      <c r="C130" s="119">
        <v>49340</v>
      </c>
      <c r="D130" s="120">
        <f t="shared" si="11"/>
        <v>226.51194861736946</v>
      </c>
    </row>
    <row r="131" spans="2:4" x14ac:dyDescent="0.25">
      <c r="B131" s="119">
        <v>49309</v>
      </c>
      <c r="C131" s="119">
        <v>49368</v>
      </c>
      <c r="D131" s="120">
        <f t="shared" si="11"/>
        <v>227.52484185269904</v>
      </c>
    </row>
  </sheetData>
  <printOptions gridLines="1" gridLinesSet="0"/>
  <pageMargins left="0.7" right="0.7" top="0.75" bottom="0.75" header="0.5" footer="0.5"/>
  <pageSetup paperSize="9" orientation="portrait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33"/>
  <sheetViews>
    <sheetView workbookViewId="0"/>
  </sheetViews>
  <sheetFormatPr defaultRowHeight="15" x14ac:dyDescent="0.25"/>
  <cols>
    <col min="1" max="1" width="20.5703125" style="45" customWidth="1"/>
    <col min="2" max="2" width="11.7109375" style="45" customWidth="1"/>
    <col min="3" max="3" width="11.5703125" style="45" customWidth="1"/>
    <col min="4" max="4" width="18.85546875" style="45" customWidth="1"/>
    <col min="5" max="6" width="9.140625" style="45"/>
    <col min="7" max="7" width="16.7109375" style="45" bestFit="1" customWidth="1"/>
    <col min="8" max="8" width="13.7109375" style="45" customWidth="1"/>
    <col min="9" max="9" width="11.140625" style="45" customWidth="1"/>
    <col min="10" max="10" width="14.140625" style="45" customWidth="1"/>
    <col min="11" max="11" width="11.42578125" style="45" customWidth="1"/>
    <col min="12" max="12" width="10.28515625" style="45" customWidth="1"/>
    <col min="13" max="13" width="12.7109375" style="45" customWidth="1"/>
    <col min="14" max="14" width="12.85546875" style="45" customWidth="1"/>
    <col min="15" max="15" width="12.42578125" style="45" customWidth="1"/>
    <col min="16" max="16" width="13.7109375" style="45" customWidth="1"/>
    <col min="17" max="17" width="11.5703125" style="45" customWidth="1"/>
    <col min="18" max="18" width="9.140625" style="45"/>
    <col min="19" max="19" width="12.28515625" style="45" customWidth="1"/>
    <col min="20" max="16384" width="9.140625" style="45"/>
  </cols>
  <sheetData>
    <row r="1" spans="1:18" x14ac:dyDescent="0.25">
      <c r="A1" s="46" t="s">
        <v>185</v>
      </c>
      <c r="B1" s="124">
        <v>800000</v>
      </c>
      <c r="D1" s="111"/>
      <c r="F1" s="81" t="s">
        <v>186</v>
      </c>
      <c r="G1" s="112">
        <f>SUM(P12:P31)</f>
        <v>799568.29956550768</v>
      </c>
      <c r="H1" s="45" t="s">
        <v>187</v>
      </c>
    </row>
    <row r="2" spans="1:18" x14ac:dyDescent="0.25">
      <c r="A2" s="46" t="s">
        <v>188</v>
      </c>
      <c r="B2" s="124">
        <v>1440000</v>
      </c>
      <c r="F2" s="110"/>
      <c r="G2" s="44" t="s">
        <v>40</v>
      </c>
    </row>
    <row r="3" spans="1:18" x14ac:dyDescent="0.25">
      <c r="A3" s="46" t="s">
        <v>189</v>
      </c>
      <c r="B3" s="124">
        <v>1000000</v>
      </c>
      <c r="F3" s="110"/>
    </row>
    <row r="4" spans="1:18" x14ac:dyDescent="0.25">
      <c r="A4" s="46" t="s">
        <v>164</v>
      </c>
      <c r="B4" s="110">
        <v>0.02</v>
      </c>
      <c r="F4" s="110"/>
      <c r="G4" s="125"/>
    </row>
    <row r="5" spans="1:18" x14ac:dyDescent="0.25">
      <c r="A5" s="46" t="s">
        <v>165</v>
      </c>
      <c r="B5" s="45">
        <v>2</v>
      </c>
      <c r="C5" s="45" t="s">
        <v>166</v>
      </c>
    </row>
    <row r="6" spans="1:18" x14ac:dyDescent="0.25">
      <c r="A6" s="46" t="s">
        <v>167</v>
      </c>
      <c r="B6" s="95">
        <v>5.5E-2</v>
      </c>
      <c r="G6" s="112"/>
      <c r="L6" s="112"/>
      <c r="O6" s="95"/>
    </row>
    <row r="7" spans="1:18" x14ac:dyDescent="0.25">
      <c r="A7" s="46" t="s">
        <v>168</v>
      </c>
      <c r="B7" s="95">
        <f>+(1+B6)^(1/12)-1</f>
        <v>4.471698917043021E-3</v>
      </c>
      <c r="L7" s="111"/>
      <c r="M7" s="112"/>
      <c r="O7" s="111"/>
    </row>
    <row r="8" spans="1:18" x14ac:dyDescent="0.25">
      <c r="A8" s="46" t="s">
        <v>190</v>
      </c>
      <c r="B8" s="126">
        <v>3.2500000000000001E-2</v>
      </c>
      <c r="M8" s="111"/>
      <c r="N8" s="112"/>
    </row>
    <row r="9" spans="1:18" s="44" customFormat="1" x14ac:dyDescent="0.25">
      <c r="B9" s="127"/>
      <c r="D9" s="44" t="s">
        <v>40</v>
      </c>
      <c r="H9" s="89" t="s">
        <v>40</v>
      </c>
      <c r="I9" s="89" t="s">
        <v>40</v>
      </c>
      <c r="J9" s="44" t="s">
        <v>40</v>
      </c>
      <c r="K9" s="44" t="s">
        <v>40</v>
      </c>
      <c r="L9" s="44" t="s">
        <v>40</v>
      </c>
      <c r="M9" s="89" t="s">
        <v>40</v>
      </c>
      <c r="N9" s="89" t="s">
        <v>40</v>
      </c>
      <c r="O9" s="44" t="s">
        <v>40</v>
      </c>
      <c r="P9" s="44" t="s">
        <v>40</v>
      </c>
    </row>
    <row r="10" spans="1:18" ht="60" x14ac:dyDescent="0.25">
      <c r="A10" s="46"/>
      <c r="B10" s="101" t="s">
        <v>174</v>
      </c>
      <c r="C10" s="51" t="s">
        <v>175</v>
      </c>
      <c r="D10" s="65" t="s">
        <v>191</v>
      </c>
      <c r="F10" s="65" t="s">
        <v>177</v>
      </c>
      <c r="G10" s="46" t="s">
        <v>174</v>
      </c>
      <c r="H10" s="65" t="s">
        <v>178</v>
      </c>
      <c r="I10" s="65" t="s">
        <v>179</v>
      </c>
      <c r="J10" s="65" t="s">
        <v>192</v>
      </c>
      <c r="K10" s="65" t="s">
        <v>193</v>
      </c>
      <c r="L10" s="65" t="s">
        <v>194</v>
      </c>
      <c r="M10" s="65" t="s">
        <v>195</v>
      </c>
      <c r="N10" s="65" t="s">
        <v>196</v>
      </c>
      <c r="O10" s="65" t="s">
        <v>197</v>
      </c>
      <c r="P10" s="65" t="s">
        <v>198</v>
      </c>
    </row>
    <row r="11" spans="1:18" x14ac:dyDescent="0.25">
      <c r="A11" s="46"/>
      <c r="B11" s="128">
        <v>41943</v>
      </c>
      <c r="C11" s="128">
        <v>42004</v>
      </c>
      <c r="D11" s="54">
        <f>'Q4 Base'!B13</f>
        <v>79.8</v>
      </c>
      <c r="E11" s="94"/>
      <c r="F11" s="111">
        <v>0</v>
      </c>
      <c r="G11" s="128">
        <v>42004</v>
      </c>
      <c r="H11" s="115">
        <f t="shared" ref="H11:H31" si="0">VLOOKUP(G11,$C$11:$D$133,2,FALSE)</f>
        <v>79.8</v>
      </c>
      <c r="I11" s="65"/>
      <c r="J11" s="111"/>
      <c r="K11" s="111"/>
      <c r="L11" s="115">
        <f t="shared" ref="L11:L31" si="1">VLOOKUP(G11,$B$11:$D$133,3,FALSE)</f>
        <v>80.2</v>
      </c>
      <c r="M11" s="122"/>
      <c r="O11" s="129">
        <f t="shared" ref="O11:O31" si="2">(1+$B$8)^-F11</f>
        <v>1</v>
      </c>
      <c r="R11" s="112"/>
    </row>
    <row r="12" spans="1:18" x14ac:dyDescent="0.25">
      <c r="A12" s="46"/>
      <c r="B12" s="128">
        <v>41973</v>
      </c>
      <c r="C12" s="128">
        <v>42035</v>
      </c>
      <c r="D12" s="54">
        <f>'Q4 Base'!B14</f>
        <v>80</v>
      </c>
      <c r="E12" s="94"/>
      <c r="F12" s="45">
        <f t="shared" ref="F12:F31" si="3">F11+0.5</f>
        <v>0.5</v>
      </c>
      <c r="G12" s="128">
        <f t="shared" ref="G12:G31" si="4">EOMONTH(G11,$F$12*12)</f>
        <v>42185</v>
      </c>
      <c r="H12" s="115">
        <f t="shared" si="0"/>
        <v>82.5</v>
      </c>
      <c r="I12" s="121">
        <f t="shared" ref="I12:I31" si="5">H12/$H$11</f>
        <v>1.0338345864661656</v>
      </c>
      <c r="J12" s="122">
        <f t="shared" ref="J12:J31" si="6">$B$3*($B$4/$B$5)*I12</f>
        <v>10338.345864661656</v>
      </c>
      <c r="K12" s="122"/>
      <c r="L12" s="115">
        <f t="shared" si="1"/>
        <v>82.5</v>
      </c>
      <c r="M12" s="130">
        <f>$L$11/L12</f>
        <v>0.97212121212121216</v>
      </c>
      <c r="N12" s="112">
        <f t="shared" ref="N12:N31" si="7">(J12+K12)*M12</f>
        <v>10050.12531328321</v>
      </c>
      <c r="O12" s="129">
        <f>(1+$B$8)^-F12</f>
        <v>0.98413566261024588</v>
      </c>
      <c r="P12" s="112">
        <f t="shared" ref="P12:P31" si="8">O12*N12</f>
        <v>9890.6867345039773</v>
      </c>
      <c r="R12" s="112"/>
    </row>
    <row r="13" spans="1:18" x14ac:dyDescent="0.25">
      <c r="B13" s="128">
        <v>42004</v>
      </c>
      <c r="C13" s="128">
        <v>42063</v>
      </c>
      <c r="D13" s="54">
        <f>'Q4 Base'!B15</f>
        <v>80.2</v>
      </c>
      <c r="E13" s="94"/>
      <c r="F13" s="45">
        <f t="shared" si="3"/>
        <v>1</v>
      </c>
      <c r="G13" s="128">
        <f t="shared" si="4"/>
        <v>42369</v>
      </c>
      <c r="H13" s="115">
        <f t="shared" si="0"/>
        <v>84.2</v>
      </c>
      <c r="I13" s="121">
        <f t="shared" si="5"/>
        <v>1.0551378446115289</v>
      </c>
      <c r="J13" s="122">
        <f t="shared" si="6"/>
        <v>10551.37844611529</v>
      </c>
      <c r="K13" s="122"/>
      <c r="L13" s="115">
        <f t="shared" si="1"/>
        <v>84.5</v>
      </c>
      <c r="M13" s="130">
        <f t="shared" ref="M13:M30" si="9">$L$11/L13</f>
        <v>0.94911242603550294</v>
      </c>
      <c r="N13" s="112">
        <f t="shared" si="7"/>
        <v>10014.444395011198</v>
      </c>
      <c r="O13" s="129">
        <f t="shared" si="2"/>
        <v>0.96852300242130751</v>
      </c>
      <c r="P13" s="112">
        <f t="shared" si="8"/>
        <v>9699.2197530374797</v>
      </c>
      <c r="R13" s="112"/>
    </row>
    <row r="14" spans="1:18" x14ac:dyDescent="0.25">
      <c r="B14" s="128">
        <v>42035</v>
      </c>
      <c r="C14" s="128">
        <v>42094</v>
      </c>
      <c r="D14" s="54">
        <f>'Q4 Base'!B16</f>
        <v>80.400000000000006</v>
      </c>
      <c r="E14" s="94"/>
      <c r="F14" s="45">
        <f t="shared" si="3"/>
        <v>1.5</v>
      </c>
      <c r="G14" s="128">
        <f t="shared" si="4"/>
        <v>42551</v>
      </c>
      <c r="H14" s="115">
        <f t="shared" si="0"/>
        <v>87.6</v>
      </c>
      <c r="I14" s="121">
        <f t="shared" si="5"/>
        <v>1.0977443609022557</v>
      </c>
      <c r="J14" s="122">
        <f t="shared" si="6"/>
        <v>10977.443609022557</v>
      </c>
      <c r="K14" s="122"/>
      <c r="L14" s="115">
        <f t="shared" si="1"/>
        <v>88</v>
      </c>
      <c r="M14" s="130">
        <f t="shared" si="9"/>
        <v>0.91136363636363638</v>
      </c>
      <c r="N14" s="112">
        <f t="shared" si="7"/>
        <v>10004.442925495558</v>
      </c>
      <c r="O14" s="129">
        <f t="shared" si="2"/>
        <v>0.95315802674115824</v>
      </c>
      <c r="P14" s="112">
        <f t="shared" si="8"/>
        <v>9535.8150775098857</v>
      </c>
      <c r="R14" s="112"/>
    </row>
    <row r="15" spans="1:18" x14ac:dyDescent="0.25">
      <c r="B15" s="128">
        <v>42063</v>
      </c>
      <c r="C15" s="128">
        <v>42124</v>
      </c>
      <c r="D15" s="54">
        <f>'Q4 Base'!B17</f>
        <v>81.2</v>
      </c>
      <c r="E15" s="94"/>
      <c r="F15" s="45">
        <f t="shared" si="3"/>
        <v>2</v>
      </c>
      <c r="G15" s="128">
        <f t="shared" si="4"/>
        <v>42735</v>
      </c>
      <c r="H15" s="115">
        <f t="shared" si="0"/>
        <v>89.2</v>
      </c>
      <c r="I15" s="121">
        <f t="shared" si="5"/>
        <v>1.1177944862155389</v>
      </c>
      <c r="J15" s="122">
        <f t="shared" si="6"/>
        <v>11177.944862155389</v>
      </c>
      <c r="K15" s="122"/>
      <c r="L15" s="115">
        <f t="shared" si="1"/>
        <v>89</v>
      </c>
      <c r="M15" s="130">
        <f t="shared" si="9"/>
        <v>0.90112359550561805</v>
      </c>
      <c r="N15" s="112">
        <f t="shared" si="7"/>
        <v>10072.709864549015</v>
      </c>
      <c r="O15" s="129">
        <f t="shared" si="2"/>
        <v>0.93803680621918406</v>
      </c>
      <c r="P15" s="112">
        <f t="shared" si="8"/>
        <v>9448.5725913140286</v>
      </c>
      <c r="R15" s="112"/>
    </row>
    <row r="16" spans="1:18" x14ac:dyDescent="0.25">
      <c r="B16" s="128">
        <v>42094</v>
      </c>
      <c r="C16" s="128">
        <v>42155</v>
      </c>
      <c r="D16" s="54">
        <f>'Q4 Base'!B18</f>
        <v>82.2</v>
      </c>
      <c r="E16" s="94"/>
      <c r="F16" s="45">
        <f t="shared" si="3"/>
        <v>2.5</v>
      </c>
      <c r="G16" s="128">
        <f t="shared" si="4"/>
        <v>42916</v>
      </c>
      <c r="H16" s="115">
        <f t="shared" si="0"/>
        <v>91.5</v>
      </c>
      <c r="I16" s="121">
        <f t="shared" si="5"/>
        <v>1.1466165413533835</v>
      </c>
      <c r="J16" s="122">
        <f t="shared" si="6"/>
        <v>11466.165413533836</v>
      </c>
      <c r="K16" s="122"/>
      <c r="L16" s="115">
        <f t="shared" si="1"/>
        <v>92.1</v>
      </c>
      <c r="M16" s="130">
        <f t="shared" si="9"/>
        <v>0.87079261672095554</v>
      </c>
      <c r="N16" s="112">
        <f t="shared" si="7"/>
        <v>9984.6521842064467</v>
      </c>
      <c r="O16" s="129">
        <f t="shared" si="2"/>
        <v>0.92315547384131535</v>
      </c>
      <c r="P16" s="112">
        <f t="shared" si="8"/>
        <v>9217.3863182518271</v>
      </c>
      <c r="R16" s="112"/>
    </row>
    <row r="17" spans="2:18" x14ac:dyDescent="0.25">
      <c r="B17" s="128">
        <v>42124</v>
      </c>
      <c r="C17" s="128">
        <v>42185</v>
      </c>
      <c r="D17" s="54">
        <f>'Q4 Base'!B19</f>
        <v>82.5</v>
      </c>
      <c r="E17" s="94"/>
      <c r="F17" s="45">
        <f t="shared" si="3"/>
        <v>3</v>
      </c>
      <c r="G17" s="128">
        <f t="shared" si="4"/>
        <v>43100</v>
      </c>
      <c r="H17" s="115">
        <f t="shared" si="0"/>
        <v>93.3</v>
      </c>
      <c r="I17" s="121">
        <f t="shared" si="5"/>
        <v>1.1691729323308271</v>
      </c>
      <c r="J17" s="122">
        <f t="shared" si="6"/>
        <v>11691.729323308271</v>
      </c>
      <c r="K17" s="122"/>
      <c r="L17" s="115">
        <f t="shared" si="1"/>
        <v>93.7</v>
      </c>
      <c r="M17" s="130">
        <f t="shared" si="9"/>
        <v>0.85592315901814298</v>
      </c>
      <c r="N17" s="112">
        <f t="shared" si="7"/>
        <v>10007.22189679107</v>
      </c>
      <c r="O17" s="129">
        <f t="shared" si="2"/>
        <v>0.90851022394109848</v>
      </c>
      <c r="P17" s="112">
        <f t="shared" si="8"/>
        <v>9091.6634064819191</v>
      </c>
      <c r="R17" s="112"/>
    </row>
    <row r="18" spans="2:18" x14ac:dyDescent="0.25">
      <c r="B18" s="128">
        <v>42155</v>
      </c>
      <c r="C18" s="128">
        <v>42216</v>
      </c>
      <c r="D18" s="54">
        <f>'Q4 Base'!B20</f>
        <v>82.3</v>
      </c>
      <c r="E18" s="94"/>
      <c r="F18" s="45">
        <f t="shared" si="3"/>
        <v>3.5</v>
      </c>
      <c r="G18" s="128">
        <f t="shared" si="4"/>
        <v>43281</v>
      </c>
      <c r="H18" s="115">
        <f t="shared" si="0"/>
        <v>97.2</v>
      </c>
      <c r="I18" s="121">
        <f t="shared" si="5"/>
        <v>1.2180451127819549</v>
      </c>
      <c r="J18" s="122">
        <f t="shared" si="6"/>
        <v>12180.45112781955</v>
      </c>
      <c r="K18" s="122"/>
      <c r="L18" s="115">
        <f t="shared" si="1"/>
        <v>97.9</v>
      </c>
      <c r="M18" s="130">
        <f t="shared" si="9"/>
        <v>0.81920326864147086</v>
      </c>
      <c r="N18" s="112">
        <f t="shared" si="7"/>
        <v>9978.2653774374648</v>
      </c>
      <c r="O18" s="129">
        <f t="shared" si="2"/>
        <v>0.89409731122645564</v>
      </c>
      <c r="P18" s="112">
        <f t="shared" si="8"/>
        <v>8921.5402446708722</v>
      </c>
      <c r="R18" s="112"/>
    </row>
    <row r="19" spans="2:18" x14ac:dyDescent="0.25">
      <c r="B19" s="128">
        <v>42185</v>
      </c>
      <c r="C19" s="128">
        <v>42247</v>
      </c>
      <c r="D19" s="54">
        <f>'Q4 Base'!B21</f>
        <v>82.5</v>
      </c>
      <c r="E19" s="94"/>
      <c r="F19" s="45">
        <f t="shared" si="3"/>
        <v>4</v>
      </c>
      <c r="G19" s="128">
        <f t="shared" si="4"/>
        <v>43465</v>
      </c>
      <c r="H19" s="115">
        <f t="shared" si="0"/>
        <v>99.3</v>
      </c>
      <c r="I19" s="121">
        <f t="shared" si="5"/>
        <v>1.244360902255639</v>
      </c>
      <c r="J19" s="122">
        <f t="shared" si="6"/>
        <v>12443.609022556389</v>
      </c>
      <c r="K19" s="122"/>
      <c r="L19" s="115">
        <f t="shared" si="1"/>
        <v>100</v>
      </c>
      <c r="M19" s="130">
        <f t="shared" si="9"/>
        <v>0.80200000000000005</v>
      </c>
      <c r="N19" s="112">
        <f t="shared" si="7"/>
        <v>9979.7744360902252</v>
      </c>
      <c r="O19" s="129">
        <f t="shared" si="2"/>
        <v>0.87991304982188712</v>
      </c>
      <c r="P19" s="112">
        <f t="shared" si="8"/>
        <v>8781.3337605946544</v>
      </c>
      <c r="R19" s="112"/>
    </row>
    <row r="20" spans="2:18" x14ac:dyDescent="0.25">
      <c r="B20" s="128">
        <v>42216</v>
      </c>
      <c r="C20" s="128">
        <v>42277</v>
      </c>
      <c r="D20" s="54">
        <f>'Q4 Base'!B22</f>
        <v>83.4</v>
      </c>
      <c r="E20" s="94"/>
      <c r="F20" s="45">
        <f t="shared" si="3"/>
        <v>4.5</v>
      </c>
      <c r="G20" s="128">
        <f t="shared" si="4"/>
        <v>43646</v>
      </c>
      <c r="H20" s="115">
        <f t="shared" si="0"/>
        <v>102.4</v>
      </c>
      <c r="I20" s="121">
        <f t="shared" si="5"/>
        <v>1.2832080200501255</v>
      </c>
      <c r="J20" s="122">
        <f t="shared" si="6"/>
        <v>12832.080200501254</v>
      </c>
      <c r="K20" s="122"/>
      <c r="L20" s="115">
        <f t="shared" si="1"/>
        <v>102.9</v>
      </c>
      <c r="M20" s="130">
        <f t="shared" si="9"/>
        <v>0.77939747327502429</v>
      </c>
      <c r="N20" s="112">
        <f t="shared" si="7"/>
        <v>10001.290885133145</v>
      </c>
      <c r="O20" s="129">
        <f t="shared" si="2"/>
        <v>0.8659538123258651</v>
      </c>
      <c r="P20" s="112">
        <f t="shared" si="8"/>
        <v>8660.6559701609731</v>
      </c>
      <c r="R20" s="112"/>
    </row>
    <row r="21" spans="2:18" x14ac:dyDescent="0.25">
      <c r="B21" s="128">
        <v>42247</v>
      </c>
      <c r="C21" s="128">
        <v>42308</v>
      </c>
      <c r="D21" s="54">
        <f>'Q4 Base'!B23</f>
        <v>83.6</v>
      </c>
      <c r="E21" s="94"/>
      <c r="F21" s="45">
        <f t="shared" si="3"/>
        <v>5</v>
      </c>
      <c r="G21" s="128">
        <f t="shared" si="4"/>
        <v>43830</v>
      </c>
      <c r="H21" s="115">
        <f t="shared" si="0"/>
        <v>104.1</v>
      </c>
      <c r="I21" s="121">
        <f t="shared" si="5"/>
        <v>1.3045112781954886</v>
      </c>
      <c r="J21" s="122">
        <f t="shared" si="6"/>
        <v>13045.112781954886</v>
      </c>
      <c r="K21" s="122"/>
      <c r="L21" s="115">
        <f t="shared" si="1"/>
        <v>104.7</v>
      </c>
      <c r="M21" s="130">
        <f t="shared" si="9"/>
        <v>0.7659980897803248</v>
      </c>
      <c r="N21" s="112">
        <f t="shared" si="7"/>
        <v>9992.5314719463404</v>
      </c>
      <c r="O21" s="129">
        <f t="shared" si="2"/>
        <v>0.85221602888318371</v>
      </c>
      <c r="P21" s="112">
        <f t="shared" si="8"/>
        <v>8515.7954895123439</v>
      </c>
      <c r="R21" s="112"/>
    </row>
    <row r="22" spans="2:18" x14ac:dyDescent="0.25">
      <c r="B22" s="128">
        <v>42277</v>
      </c>
      <c r="C22" s="128">
        <v>42338</v>
      </c>
      <c r="D22" s="54">
        <f>'Q4 Base'!B24</f>
        <v>84</v>
      </c>
      <c r="E22" s="94"/>
      <c r="F22" s="45">
        <f t="shared" si="3"/>
        <v>5.5</v>
      </c>
      <c r="G22" s="128">
        <f t="shared" si="4"/>
        <v>44012</v>
      </c>
      <c r="H22" s="115">
        <f t="shared" si="0"/>
        <v>107</v>
      </c>
      <c r="I22" s="121">
        <f t="shared" si="5"/>
        <v>1.3408521303258145</v>
      </c>
      <c r="J22" s="122">
        <f t="shared" si="6"/>
        <v>13408.521303258145</v>
      </c>
      <c r="K22" s="122"/>
      <c r="L22" s="115">
        <f t="shared" si="1"/>
        <v>107.6</v>
      </c>
      <c r="M22" s="130">
        <f t="shared" si="9"/>
        <v>0.74535315985130113</v>
      </c>
      <c r="N22" s="112">
        <f t="shared" si="7"/>
        <v>9994.0837223169456</v>
      </c>
      <c r="O22" s="129">
        <f t="shared" si="2"/>
        <v>0.83869618627202436</v>
      </c>
      <c r="P22" s="112">
        <f t="shared" si="8"/>
        <v>8381.999903190539</v>
      </c>
      <c r="R22" s="112"/>
    </row>
    <row r="23" spans="2:18" x14ac:dyDescent="0.25">
      <c r="B23" s="128">
        <v>42308</v>
      </c>
      <c r="C23" s="128">
        <v>42369</v>
      </c>
      <c r="D23" s="54">
        <f>'Q4 Base'!B25</f>
        <v>84.2</v>
      </c>
      <c r="E23" s="94"/>
      <c r="F23" s="45">
        <f t="shared" si="3"/>
        <v>6</v>
      </c>
      <c r="G23" s="128">
        <f t="shared" si="4"/>
        <v>44196</v>
      </c>
      <c r="H23" s="115">
        <f t="shared" si="0"/>
        <v>109.4</v>
      </c>
      <c r="I23" s="121">
        <f t="shared" si="5"/>
        <v>1.3709273182957395</v>
      </c>
      <c r="J23" s="122">
        <f t="shared" si="6"/>
        <v>13709.273182957395</v>
      </c>
      <c r="K23" s="122"/>
      <c r="L23" s="115">
        <f t="shared" si="1"/>
        <v>109.4</v>
      </c>
      <c r="M23" s="130">
        <f t="shared" si="9"/>
        <v>0.73308957952468001</v>
      </c>
      <c r="N23" s="112">
        <f t="shared" si="7"/>
        <v>10050.125313283208</v>
      </c>
      <c r="O23" s="129">
        <f t="shared" si="2"/>
        <v>0.82539082700550481</v>
      </c>
      <c r="P23" s="112">
        <f t="shared" si="8"/>
        <v>8295.281243839785</v>
      </c>
      <c r="R23" s="112"/>
    </row>
    <row r="24" spans="2:18" x14ac:dyDescent="0.25">
      <c r="B24" s="128">
        <v>42338</v>
      </c>
      <c r="C24" s="128">
        <v>42400</v>
      </c>
      <c r="D24" s="54">
        <f>'Q4 Base'!B26</f>
        <v>84.3</v>
      </c>
      <c r="E24" s="94"/>
      <c r="F24" s="45">
        <f t="shared" si="3"/>
        <v>6.5</v>
      </c>
      <c r="G24" s="128">
        <f t="shared" si="4"/>
        <v>44377</v>
      </c>
      <c r="H24" s="115">
        <f t="shared" si="0"/>
        <v>111.7</v>
      </c>
      <c r="I24" s="121">
        <f t="shared" si="5"/>
        <v>1.399749373433584</v>
      </c>
      <c r="J24" s="122">
        <f t="shared" si="6"/>
        <v>13997.49373433584</v>
      </c>
      <c r="K24" s="122"/>
      <c r="L24" s="115">
        <f t="shared" si="1"/>
        <v>112.4</v>
      </c>
      <c r="M24" s="130">
        <f t="shared" si="9"/>
        <v>0.71352313167259784</v>
      </c>
      <c r="N24" s="112">
        <f t="shared" si="7"/>
        <v>9987.5355648908753</v>
      </c>
      <c r="O24" s="129">
        <f t="shared" si="2"/>
        <v>0.81229654844748123</v>
      </c>
      <c r="P24" s="112">
        <f t="shared" si="8"/>
        <v>8112.8406668573225</v>
      </c>
      <c r="R24" s="112"/>
    </row>
    <row r="25" spans="2:18" x14ac:dyDescent="0.25">
      <c r="B25" s="128">
        <v>42369</v>
      </c>
      <c r="C25" s="128">
        <v>42429</v>
      </c>
      <c r="D25" s="54">
        <f>'Q4 Base'!B27</f>
        <v>84.5</v>
      </c>
      <c r="E25" s="94"/>
      <c r="F25" s="45">
        <f t="shared" si="3"/>
        <v>7</v>
      </c>
      <c r="G25" s="128">
        <f t="shared" si="4"/>
        <v>44561</v>
      </c>
      <c r="H25" s="115">
        <f t="shared" si="0"/>
        <v>113.4</v>
      </c>
      <c r="I25" s="121">
        <f t="shared" si="5"/>
        <v>1.4210526315789476</v>
      </c>
      <c r="J25" s="122">
        <f t="shared" si="6"/>
        <v>14210.526315789475</v>
      </c>
      <c r="K25" s="122"/>
      <c r="L25" s="115">
        <f t="shared" si="1"/>
        <v>113.8</v>
      </c>
      <c r="M25" s="130">
        <f t="shared" si="9"/>
        <v>0.70474516695957823</v>
      </c>
      <c r="N25" s="112">
        <f t="shared" si="7"/>
        <v>10014.799741004534</v>
      </c>
      <c r="O25" s="129">
        <f t="shared" si="2"/>
        <v>0.79941000194237755</v>
      </c>
      <c r="P25" s="112">
        <f t="shared" si="8"/>
        <v>8005.9310804089564</v>
      </c>
      <c r="R25" s="112"/>
    </row>
    <row r="26" spans="2:18" x14ac:dyDescent="0.25">
      <c r="B26" s="128">
        <v>42400</v>
      </c>
      <c r="C26" s="128">
        <v>42460</v>
      </c>
      <c r="D26" s="54">
        <f>'Q4 Base'!B28</f>
        <v>85.1</v>
      </c>
      <c r="E26" s="94"/>
      <c r="F26" s="45">
        <f t="shared" si="3"/>
        <v>7.5</v>
      </c>
      <c r="G26" s="128">
        <f t="shared" si="4"/>
        <v>44742</v>
      </c>
      <c r="H26" s="115">
        <f t="shared" si="0"/>
        <v>115</v>
      </c>
      <c r="I26" s="121">
        <f t="shared" si="5"/>
        <v>1.4411027568922306</v>
      </c>
      <c r="J26" s="122">
        <f t="shared" si="6"/>
        <v>14411.027568922305</v>
      </c>
      <c r="K26" s="122"/>
      <c r="L26" s="115">
        <f t="shared" si="1"/>
        <v>114.9</v>
      </c>
      <c r="M26" s="130">
        <f t="shared" si="9"/>
        <v>0.69799825935596171</v>
      </c>
      <c r="N26" s="112">
        <f t="shared" si="7"/>
        <v>10058.872158638545</v>
      </c>
      <c r="O26" s="129">
        <f t="shared" si="2"/>
        <v>0.78672789195881954</v>
      </c>
      <c r="P26" s="112">
        <f t="shared" si="8"/>
        <v>7913.5952888489637</v>
      </c>
      <c r="R26" s="112"/>
    </row>
    <row r="27" spans="2:18" x14ac:dyDescent="0.25">
      <c r="B27" s="128">
        <v>42429</v>
      </c>
      <c r="C27" s="128">
        <v>42490</v>
      </c>
      <c r="D27" s="54">
        <f>'Q4 Base'!B29</f>
        <v>86</v>
      </c>
      <c r="E27" s="94"/>
      <c r="F27" s="45">
        <f t="shared" si="3"/>
        <v>8</v>
      </c>
      <c r="G27" s="128">
        <f t="shared" si="4"/>
        <v>44926</v>
      </c>
      <c r="H27" s="115">
        <f t="shared" si="0"/>
        <v>117.1</v>
      </c>
      <c r="I27" s="121">
        <f t="shared" si="5"/>
        <v>1.4674185463659148</v>
      </c>
      <c r="J27" s="122">
        <f t="shared" si="6"/>
        <v>14674.185463659149</v>
      </c>
      <c r="K27" s="122"/>
      <c r="L27" s="115">
        <f t="shared" si="1"/>
        <v>117.3</v>
      </c>
      <c r="M27" s="130">
        <f t="shared" si="9"/>
        <v>0.68371696504688839</v>
      </c>
      <c r="N27" s="112">
        <f t="shared" si="7"/>
        <v>10032.989549748199</v>
      </c>
      <c r="O27" s="129">
        <f t="shared" si="2"/>
        <v>0.77424697524685471</v>
      </c>
      <c r="P27" s="112">
        <f t="shared" si="8"/>
        <v>7768.011811575846</v>
      </c>
      <c r="R27" s="112"/>
    </row>
    <row r="28" spans="2:18" x14ac:dyDescent="0.25">
      <c r="B28" s="128">
        <v>42460</v>
      </c>
      <c r="C28" s="128">
        <v>42521</v>
      </c>
      <c r="D28" s="54">
        <f>'Q4 Base'!B30</f>
        <v>87.2</v>
      </c>
      <c r="E28" s="94"/>
      <c r="F28" s="45">
        <f t="shared" si="3"/>
        <v>8.5</v>
      </c>
      <c r="G28" s="128">
        <f t="shared" si="4"/>
        <v>45107</v>
      </c>
      <c r="H28" s="115">
        <f t="shared" si="0"/>
        <v>120.1</v>
      </c>
      <c r="I28" s="121">
        <f t="shared" si="5"/>
        <v>1.5050125313283207</v>
      </c>
      <c r="J28" s="122">
        <f t="shared" si="6"/>
        <v>15050.125313283206</v>
      </c>
      <c r="K28" s="122"/>
      <c r="L28" s="115">
        <f t="shared" si="1"/>
        <v>120.5</v>
      </c>
      <c r="M28" s="130">
        <f t="shared" si="9"/>
        <v>0.66556016597510381</v>
      </c>
      <c r="N28" s="112">
        <f t="shared" si="7"/>
        <v>10016.763901454882</v>
      </c>
      <c r="O28" s="129">
        <f t="shared" si="2"/>
        <v>0.76196406000854189</v>
      </c>
      <c r="P28" s="112">
        <f t="shared" si="8"/>
        <v>7632.4140904995638</v>
      </c>
      <c r="R28" s="112"/>
    </row>
    <row r="29" spans="2:18" x14ac:dyDescent="0.25">
      <c r="B29" s="128">
        <v>42490</v>
      </c>
      <c r="C29" s="128">
        <v>42551</v>
      </c>
      <c r="D29" s="54">
        <f>'Q4 Base'!B31</f>
        <v>87.6</v>
      </c>
      <c r="E29" s="94"/>
      <c r="F29" s="45">
        <f t="shared" si="3"/>
        <v>9</v>
      </c>
      <c r="G29" s="128">
        <f t="shared" si="4"/>
        <v>45291</v>
      </c>
      <c r="H29" s="115">
        <f t="shared" si="0"/>
        <v>122.9</v>
      </c>
      <c r="I29" s="121">
        <f t="shared" si="5"/>
        <v>1.5401002506265666</v>
      </c>
      <c r="J29" s="122">
        <f t="shared" si="6"/>
        <v>15401.002506265666</v>
      </c>
      <c r="K29" s="122"/>
      <c r="L29" s="115">
        <f t="shared" si="1"/>
        <v>124.2</v>
      </c>
      <c r="M29" s="130">
        <f t="shared" si="9"/>
        <v>0.64573268921095006</v>
      </c>
      <c r="N29" s="112">
        <f t="shared" si="7"/>
        <v>9944.9307649155107</v>
      </c>
      <c r="O29" s="129">
        <f t="shared" si="2"/>
        <v>0.74987600508169938</v>
      </c>
      <c r="P29" s="112">
        <f t="shared" si="8"/>
        <v>7457.4649528089321</v>
      </c>
      <c r="R29" s="112"/>
    </row>
    <row r="30" spans="2:18" x14ac:dyDescent="0.25">
      <c r="B30" s="128">
        <v>42521</v>
      </c>
      <c r="C30" s="128">
        <v>42582</v>
      </c>
      <c r="D30" s="54">
        <f>'Q4 Base'!B32</f>
        <v>87.7</v>
      </c>
      <c r="E30" s="94"/>
      <c r="F30" s="45">
        <f t="shared" si="3"/>
        <v>9.5</v>
      </c>
      <c r="G30" s="128">
        <f t="shared" si="4"/>
        <v>45473</v>
      </c>
      <c r="H30" s="115">
        <f t="shared" si="0"/>
        <v>127.2</v>
      </c>
      <c r="I30" s="121">
        <f t="shared" si="5"/>
        <v>1.5939849624060152</v>
      </c>
      <c r="J30" s="122">
        <f t="shared" si="6"/>
        <v>15939.849624060153</v>
      </c>
      <c r="K30" s="122"/>
      <c r="L30" s="115">
        <f t="shared" si="1"/>
        <v>129.4</v>
      </c>
      <c r="M30" s="130">
        <f t="shared" si="9"/>
        <v>0.61978361669242654</v>
      </c>
      <c r="N30" s="112">
        <f t="shared" si="7"/>
        <v>9879.257649533416</v>
      </c>
      <c r="O30" s="129">
        <f t="shared" si="2"/>
        <v>0.73797971913660243</v>
      </c>
      <c r="P30" s="112">
        <f t="shared" si="8"/>
        <v>7290.6917854808016</v>
      </c>
      <c r="R30" s="112"/>
    </row>
    <row r="31" spans="2:18" x14ac:dyDescent="0.25">
      <c r="B31" s="128">
        <v>42551</v>
      </c>
      <c r="C31" s="128">
        <v>42613</v>
      </c>
      <c r="D31" s="54">
        <f>'Q4 Base'!B33</f>
        <v>88</v>
      </c>
      <c r="E31" s="94"/>
      <c r="F31" s="45">
        <f t="shared" si="3"/>
        <v>10</v>
      </c>
      <c r="G31" s="128">
        <f t="shared" si="4"/>
        <v>45657</v>
      </c>
      <c r="H31" s="115">
        <f t="shared" si="0"/>
        <v>132.30000000000001</v>
      </c>
      <c r="I31" s="121">
        <f t="shared" si="5"/>
        <v>1.6578947368421055</v>
      </c>
      <c r="J31" s="122">
        <f t="shared" si="6"/>
        <v>16578.947368421057</v>
      </c>
      <c r="K31" s="122">
        <f>B2</f>
        <v>1440000</v>
      </c>
      <c r="L31" s="115">
        <f t="shared" si="1"/>
        <v>133.19999999999999</v>
      </c>
      <c r="M31" s="130">
        <f>$L$11/L31</f>
        <v>0.60210210210210213</v>
      </c>
      <c r="N31" s="112">
        <f t="shared" si="7"/>
        <v>877009.2460881935</v>
      </c>
      <c r="O31" s="129">
        <f t="shared" si="2"/>
        <v>0.72627215988542326</v>
      </c>
      <c r="P31" s="112">
        <f t="shared" si="8"/>
        <v>636947.39939595899</v>
      </c>
      <c r="R31" s="112"/>
    </row>
    <row r="32" spans="2:18" x14ac:dyDescent="0.25">
      <c r="B32" s="128">
        <v>42582</v>
      </c>
      <c r="C32" s="128">
        <v>42643</v>
      </c>
      <c r="D32" s="54">
        <f>'Q4 Base'!B34</f>
        <v>88.7</v>
      </c>
      <c r="E32" s="94"/>
      <c r="G32" s="128"/>
      <c r="M32" s="121"/>
      <c r="R32" s="112"/>
    </row>
    <row r="33" spans="2:5" x14ac:dyDescent="0.25">
      <c r="B33" s="128">
        <v>42613</v>
      </c>
      <c r="C33" s="128">
        <v>42674</v>
      </c>
      <c r="D33" s="54">
        <f>'Q4 Base'!B35</f>
        <v>89</v>
      </c>
      <c r="E33" s="94"/>
    </row>
    <row r="34" spans="2:5" x14ac:dyDescent="0.25">
      <c r="B34" s="128">
        <v>42643</v>
      </c>
      <c r="C34" s="128">
        <v>42704</v>
      </c>
      <c r="D34" s="54">
        <f>'Q4 Base'!B36</f>
        <v>89</v>
      </c>
      <c r="E34" s="94"/>
    </row>
    <row r="35" spans="2:5" x14ac:dyDescent="0.25">
      <c r="B35" s="128">
        <v>42674</v>
      </c>
      <c r="C35" s="128">
        <v>42735</v>
      </c>
      <c r="D35" s="54">
        <f>'Q4 Base'!B37</f>
        <v>89.2</v>
      </c>
      <c r="E35" s="94"/>
    </row>
    <row r="36" spans="2:5" x14ac:dyDescent="0.25">
      <c r="B36" s="128">
        <v>42704</v>
      </c>
      <c r="C36" s="128">
        <v>42766</v>
      </c>
      <c r="D36" s="54">
        <f>'Q4 Base'!B38</f>
        <v>89.2</v>
      </c>
      <c r="E36" s="94"/>
    </row>
    <row r="37" spans="2:5" x14ac:dyDescent="0.25">
      <c r="B37" s="128">
        <v>42735</v>
      </c>
      <c r="C37" s="128">
        <v>42794</v>
      </c>
      <c r="D37" s="54">
        <f>'Q4 Base'!B39</f>
        <v>89</v>
      </c>
      <c r="E37" s="94"/>
    </row>
    <row r="38" spans="2:5" x14ac:dyDescent="0.25">
      <c r="B38" s="128">
        <v>42766</v>
      </c>
      <c r="C38" s="128">
        <v>42825</v>
      </c>
      <c r="D38" s="54">
        <f>'Q4 Base'!B40</f>
        <v>88.9</v>
      </c>
      <c r="E38" s="94"/>
    </row>
    <row r="39" spans="2:5" x14ac:dyDescent="0.25">
      <c r="B39" s="128">
        <v>42794</v>
      </c>
      <c r="C39" s="128">
        <v>42855</v>
      </c>
      <c r="D39" s="54">
        <f>'Q4 Base'!B41</f>
        <v>89.4</v>
      </c>
      <c r="E39" s="94"/>
    </row>
    <row r="40" spans="2:5" x14ac:dyDescent="0.25">
      <c r="B40" s="128">
        <v>42825</v>
      </c>
      <c r="C40" s="128">
        <v>42886</v>
      </c>
      <c r="D40" s="54">
        <f>'Q4 Base'!B42</f>
        <v>90.7</v>
      </c>
      <c r="E40" s="94"/>
    </row>
    <row r="41" spans="2:5" x14ac:dyDescent="0.25">
      <c r="B41" s="128">
        <v>42855</v>
      </c>
      <c r="C41" s="128">
        <v>42916</v>
      </c>
      <c r="D41" s="54">
        <f>'Q4 Base'!B43</f>
        <v>91.5</v>
      </c>
      <c r="E41" s="94"/>
    </row>
    <row r="42" spans="2:5" x14ac:dyDescent="0.25">
      <c r="B42" s="128">
        <v>42886</v>
      </c>
      <c r="C42" s="128">
        <v>42947</v>
      </c>
      <c r="D42" s="54">
        <f>'Q4 Base'!B44</f>
        <v>91.7</v>
      </c>
      <c r="E42" s="94"/>
    </row>
    <row r="43" spans="2:5" x14ac:dyDescent="0.25">
      <c r="B43" s="128">
        <v>42916</v>
      </c>
      <c r="C43" s="128">
        <v>42978</v>
      </c>
      <c r="D43" s="54">
        <f>'Q4 Base'!B45</f>
        <v>92.1</v>
      </c>
      <c r="E43" s="94"/>
    </row>
    <row r="44" spans="2:5" x14ac:dyDescent="0.25">
      <c r="B44" s="128">
        <v>42947</v>
      </c>
      <c r="C44" s="128">
        <v>43008</v>
      </c>
      <c r="D44" s="54">
        <f>'Q4 Base'!B46</f>
        <v>93.1</v>
      </c>
      <c r="E44" s="94"/>
    </row>
    <row r="45" spans="2:5" x14ac:dyDescent="0.25">
      <c r="B45" s="128">
        <v>42978</v>
      </c>
      <c r="C45" s="128">
        <v>43039</v>
      </c>
      <c r="D45" s="54">
        <f>'Q4 Base'!B47</f>
        <v>93.1</v>
      </c>
      <c r="E45" s="94"/>
    </row>
    <row r="46" spans="2:5" x14ac:dyDescent="0.25">
      <c r="B46" s="128">
        <v>43008</v>
      </c>
      <c r="C46" s="128">
        <v>43069</v>
      </c>
      <c r="D46" s="54">
        <f>'Q4 Base'!B48</f>
        <v>93.1</v>
      </c>
      <c r="E46" s="94"/>
    </row>
    <row r="47" spans="2:5" x14ac:dyDescent="0.25">
      <c r="B47" s="128">
        <v>43039</v>
      </c>
      <c r="C47" s="128">
        <v>43100</v>
      </c>
      <c r="D47" s="54">
        <f>'Q4 Base'!B49</f>
        <v>93.3</v>
      </c>
      <c r="E47" s="94"/>
    </row>
    <row r="48" spans="2:5" x14ac:dyDescent="0.25">
      <c r="B48" s="128">
        <v>43069</v>
      </c>
      <c r="C48" s="128">
        <v>43131</v>
      </c>
      <c r="D48" s="54">
        <f>'Q4 Base'!B50</f>
        <v>93.4</v>
      </c>
      <c r="E48" s="94"/>
    </row>
    <row r="49" spans="2:5" x14ac:dyDescent="0.25">
      <c r="B49" s="128">
        <v>43100</v>
      </c>
      <c r="C49" s="128">
        <v>43159</v>
      </c>
      <c r="D49" s="54">
        <f>'Q4 Base'!B51</f>
        <v>93.7</v>
      </c>
      <c r="E49" s="94"/>
    </row>
    <row r="50" spans="2:5" x14ac:dyDescent="0.25">
      <c r="B50" s="128">
        <v>43131</v>
      </c>
      <c r="C50" s="128">
        <v>43190</v>
      </c>
      <c r="D50" s="54">
        <f>'Q4 Base'!B52</f>
        <v>94.4</v>
      </c>
      <c r="E50" s="94"/>
    </row>
    <row r="51" spans="2:5" x14ac:dyDescent="0.25">
      <c r="B51" s="128">
        <v>43159</v>
      </c>
      <c r="C51" s="128">
        <v>43220</v>
      </c>
      <c r="D51" s="54">
        <f>'Q4 Base'!B53</f>
        <v>95.7</v>
      </c>
      <c r="E51" s="94"/>
    </row>
    <row r="52" spans="2:5" x14ac:dyDescent="0.25">
      <c r="B52" s="128">
        <v>43190</v>
      </c>
      <c r="C52" s="128">
        <v>43251</v>
      </c>
      <c r="D52" s="54">
        <f>'Q4 Base'!B54</f>
        <v>96.4</v>
      </c>
      <c r="E52" s="94"/>
    </row>
    <row r="53" spans="2:5" x14ac:dyDescent="0.25">
      <c r="B53" s="128">
        <v>43220</v>
      </c>
      <c r="C53" s="128">
        <v>43281</v>
      </c>
      <c r="D53" s="54">
        <f>'Q4 Base'!B55</f>
        <v>97.2</v>
      </c>
      <c r="E53" s="94"/>
    </row>
    <row r="54" spans="2:5" x14ac:dyDescent="0.25">
      <c r="B54" s="128">
        <v>43251</v>
      </c>
      <c r="C54" s="128">
        <v>43312</v>
      </c>
      <c r="D54" s="54">
        <f>'Q4 Base'!B56</f>
        <v>97.4</v>
      </c>
      <c r="E54" s="94"/>
    </row>
    <row r="55" spans="2:5" x14ac:dyDescent="0.25">
      <c r="B55" s="128">
        <v>43281</v>
      </c>
      <c r="C55" s="128">
        <v>43343</v>
      </c>
      <c r="D55" s="54">
        <f>'Q4 Base'!B57</f>
        <v>97.9</v>
      </c>
      <c r="E55" s="94"/>
    </row>
    <row r="56" spans="2:5" x14ac:dyDescent="0.25">
      <c r="B56" s="128">
        <v>43312</v>
      </c>
      <c r="C56" s="128">
        <v>43373</v>
      </c>
      <c r="D56" s="54">
        <f>'Q4 Base'!B58</f>
        <v>98.7</v>
      </c>
      <c r="E56" s="94"/>
    </row>
    <row r="57" spans="2:5" x14ac:dyDescent="0.25">
      <c r="B57" s="128">
        <v>43343</v>
      </c>
      <c r="C57" s="128">
        <v>43404</v>
      </c>
      <c r="D57" s="54">
        <f>'Q4 Base'!B59</f>
        <v>98.6</v>
      </c>
      <c r="E57" s="94"/>
    </row>
    <row r="58" spans="2:5" x14ac:dyDescent="0.25">
      <c r="B58" s="128">
        <v>43373</v>
      </c>
      <c r="C58" s="128">
        <v>43434</v>
      </c>
      <c r="D58" s="54">
        <f>'Q4 Base'!B60</f>
        <v>98.8</v>
      </c>
      <c r="E58" s="94"/>
    </row>
    <row r="59" spans="2:5" x14ac:dyDescent="0.25">
      <c r="B59" s="128">
        <v>43404</v>
      </c>
      <c r="C59" s="128">
        <v>43465</v>
      </c>
      <c r="D59" s="54">
        <f>'Q4 Base'!B61</f>
        <v>99.3</v>
      </c>
      <c r="E59" s="94"/>
    </row>
    <row r="60" spans="2:5" x14ac:dyDescent="0.25">
      <c r="B60" s="128">
        <v>43434</v>
      </c>
      <c r="C60" s="128">
        <v>43496</v>
      </c>
      <c r="D60" s="54">
        <f>'Q4 Base'!B62</f>
        <v>99.6</v>
      </c>
      <c r="E60" s="94"/>
    </row>
    <row r="61" spans="2:5" x14ac:dyDescent="0.25">
      <c r="B61" s="128">
        <v>43465</v>
      </c>
      <c r="C61" s="128">
        <v>43524</v>
      </c>
      <c r="D61" s="54">
        <f>'Q4 Base'!B63</f>
        <v>100</v>
      </c>
      <c r="E61" s="94"/>
    </row>
    <row r="62" spans="2:5" x14ac:dyDescent="0.25">
      <c r="B62" s="128">
        <v>43496</v>
      </c>
      <c r="C62" s="128">
        <v>43555</v>
      </c>
      <c r="D62" s="54">
        <f>'Q4 Base'!B64</f>
        <v>100.6</v>
      </c>
      <c r="E62" s="94"/>
    </row>
    <row r="63" spans="2:5" x14ac:dyDescent="0.25">
      <c r="B63" s="128">
        <v>43524</v>
      </c>
      <c r="C63" s="128">
        <v>43585</v>
      </c>
      <c r="D63" s="54">
        <f>'Q4 Base'!B65</f>
        <v>101.7</v>
      </c>
      <c r="E63" s="94"/>
    </row>
    <row r="64" spans="2:5" x14ac:dyDescent="0.25">
      <c r="B64" s="128">
        <v>43555</v>
      </c>
      <c r="C64" s="128">
        <v>43616</v>
      </c>
      <c r="D64" s="54">
        <f>'Q4 Base'!B66</f>
        <v>102.3</v>
      </c>
      <c r="E64" s="94"/>
    </row>
    <row r="65" spans="2:5" x14ac:dyDescent="0.25">
      <c r="B65" s="128">
        <v>43585</v>
      </c>
      <c r="C65" s="128">
        <v>43646</v>
      </c>
      <c r="D65" s="54">
        <f>'Q4 Base'!B67</f>
        <v>102.4</v>
      </c>
      <c r="E65" s="94"/>
    </row>
    <row r="66" spans="2:5" x14ac:dyDescent="0.25">
      <c r="B66" s="128">
        <v>43616</v>
      </c>
      <c r="C66" s="128">
        <v>43677</v>
      </c>
      <c r="D66" s="54">
        <f>'Q4 Base'!B68</f>
        <v>102.7</v>
      </c>
      <c r="E66" s="94"/>
    </row>
    <row r="67" spans="2:5" x14ac:dyDescent="0.25">
      <c r="B67" s="128">
        <v>43646</v>
      </c>
      <c r="C67" s="128">
        <v>43708</v>
      </c>
      <c r="D67" s="54">
        <f>'Q4 Base'!B69</f>
        <v>102.9</v>
      </c>
      <c r="E67" s="94"/>
    </row>
    <row r="68" spans="2:5" x14ac:dyDescent="0.25">
      <c r="B68" s="128">
        <v>43677</v>
      </c>
      <c r="C68" s="128">
        <v>43738</v>
      </c>
      <c r="D68" s="54">
        <f>'Q4 Base'!B70</f>
        <v>103.2</v>
      </c>
      <c r="E68" s="94"/>
    </row>
    <row r="69" spans="2:5" x14ac:dyDescent="0.25">
      <c r="B69" s="128">
        <v>43708</v>
      </c>
      <c r="C69" s="128">
        <v>43769</v>
      </c>
      <c r="D69" s="54">
        <f>'Q4 Base'!B71</f>
        <v>103.3</v>
      </c>
      <c r="E69" s="94"/>
    </row>
    <row r="70" spans="2:5" x14ac:dyDescent="0.25">
      <c r="B70" s="128">
        <v>43738</v>
      </c>
      <c r="C70" s="128">
        <v>43799</v>
      </c>
      <c r="D70" s="54">
        <f>'Q4 Base'!B72</f>
        <v>103.8</v>
      </c>
      <c r="E70" s="94"/>
    </row>
    <row r="71" spans="2:5" x14ac:dyDescent="0.25">
      <c r="B71" s="128">
        <v>43769</v>
      </c>
      <c r="C71" s="128">
        <v>43830</v>
      </c>
      <c r="D71" s="54">
        <f>'Q4 Base'!B73</f>
        <v>104.1</v>
      </c>
      <c r="E71" s="94"/>
    </row>
    <row r="72" spans="2:5" x14ac:dyDescent="0.25">
      <c r="B72" s="128">
        <v>43799</v>
      </c>
      <c r="C72" s="128">
        <v>43861</v>
      </c>
      <c r="D72" s="54">
        <f>'Q4 Base'!B74</f>
        <v>104.2</v>
      </c>
      <c r="E72" s="94"/>
    </row>
    <row r="73" spans="2:5" x14ac:dyDescent="0.25">
      <c r="B73" s="128">
        <v>43830</v>
      </c>
      <c r="C73" s="128">
        <v>43890</v>
      </c>
      <c r="D73" s="54">
        <f>'Q4 Base'!B75</f>
        <v>104.7</v>
      </c>
      <c r="E73" s="94"/>
    </row>
    <row r="74" spans="2:5" x14ac:dyDescent="0.25">
      <c r="B74" s="128">
        <v>43861</v>
      </c>
      <c r="C74" s="128">
        <v>43921</v>
      </c>
      <c r="D74" s="54">
        <f>'Q4 Base'!B76</f>
        <v>105</v>
      </c>
      <c r="E74" s="94"/>
    </row>
    <row r="75" spans="2:5" x14ac:dyDescent="0.25">
      <c r="B75" s="128">
        <v>43890</v>
      </c>
      <c r="C75" s="128">
        <v>43951</v>
      </c>
      <c r="D75" s="54">
        <f>'Q4 Base'!B77</f>
        <v>105.8</v>
      </c>
      <c r="E75" s="94"/>
    </row>
    <row r="76" spans="2:5" x14ac:dyDescent="0.25">
      <c r="B76" s="128">
        <v>43921</v>
      </c>
      <c r="C76" s="128">
        <v>43982</v>
      </c>
      <c r="D76" s="54">
        <f>'Q4 Base'!B78</f>
        <v>106.2</v>
      </c>
      <c r="E76" s="94"/>
    </row>
    <row r="77" spans="2:5" x14ac:dyDescent="0.25">
      <c r="B77" s="128">
        <v>43951</v>
      </c>
      <c r="C77" s="128">
        <v>44012</v>
      </c>
      <c r="D77" s="54">
        <f>'Q4 Base'!B79</f>
        <v>107</v>
      </c>
      <c r="E77" s="94"/>
    </row>
    <row r="78" spans="2:5" x14ac:dyDescent="0.25">
      <c r="B78" s="128">
        <v>43982</v>
      </c>
      <c r="C78" s="128">
        <v>44043</v>
      </c>
      <c r="D78" s="54">
        <f>'Q4 Base'!B80</f>
        <v>107.2</v>
      </c>
      <c r="E78" s="94"/>
    </row>
    <row r="79" spans="2:5" x14ac:dyDescent="0.25">
      <c r="B79" s="128">
        <v>44012</v>
      </c>
      <c r="C79" s="128">
        <v>44074</v>
      </c>
      <c r="D79" s="54">
        <f>'Q4 Base'!B81</f>
        <v>107.6</v>
      </c>
      <c r="E79" s="94"/>
    </row>
    <row r="80" spans="2:5" x14ac:dyDescent="0.25">
      <c r="B80" s="128">
        <v>44043</v>
      </c>
      <c r="C80" s="128">
        <v>44104</v>
      </c>
      <c r="D80" s="54">
        <f>'Q4 Base'!B82</f>
        <v>108.5</v>
      </c>
      <c r="E80" s="94"/>
    </row>
    <row r="81" spans="2:5" x14ac:dyDescent="0.25">
      <c r="B81" s="128">
        <v>44074</v>
      </c>
      <c r="C81" s="128">
        <v>44135</v>
      </c>
      <c r="D81" s="54">
        <f>'Q4 Base'!B83</f>
        <v>108.4</v>
      </c>
      <c r="E81" s="94"/>
    </row>
    <row r="82" spans="2:5" x14ac:dyDescent="0.25">
      <c r="B82" s="128">
        <v>44104</v>
      </c>
      <c r="C82" s="128">
        <v>44165</v>
      </c>
      <c r="D82" s="54">
        <f>'Q4 Base'!B84</f>
        <v>108.9</v>
      </c>
      <c r="E82" s="94"/>
    </row>
    <row r="83" spans="2:5" x14ac:dyDescent="0.25">
      <c r="B83" s="128">
        <v>44135</v>
      </c>
      <c r="C83" s="128">
        <v>44196</v>
      </c>
      <c r="D83" s="54">
        <f>'Q4 Base'!B85</f>
        <v>109.4</v>
      </c>
      <c r="E83" s="94"/>
    </row>
    <row r="84" spans="2:5" x14ac:dyDescent="0.25">
      <c r="B84" s="128">
        <v>44165</v>
      </c>
      <c r="C84" s="128">
        <v>44227</v>
      </c>
      <c r="D84" s="54">
        <f>'Q4 Base'!B86</f>
        <v>109.6</v>
      </c>
      <c r="E84" s="94"/>
    </row>
    <row r="85" spans="2:5" x14ac:dyDescent="0.25">
      <c r="B85" s="128">
        <v>44196</v>
      </c>
      <c r="C85" s="128">
        <v>44255</v>
      </c>
      <c r="D85" s="54">
        <f>'Q4 Base'!B87</f>
        <v>109.4</v>
      </c>
      <c r="E85" s="94"/>
    </row>
    <row r="86" spans="2:5" x14ac:dyDescent="0.25">
      <c r="B86" s="128">
        <v>44227</v>
      </c>
      <c r="C86" s="128">
        <v>44286</v>
      </c>
      <c r="D86" s="54">
        <f>'Q4 Base'!B88</f>
        <v>109.2</v>
      </c>
      <c r="E86" s="94"/>
    </row>
    <row r="87" spans="2:5" x14ac:dyDescent="0.25">
      <c r="B87" s="128">
        <v>44255</v>
      </c>
      <c r="C87" s="128">
        <v>44316</v>
      </c>
      <c r="D87" s="54">
        <f>'Q4 Base'!B89</f>
        <v>110.1</v>
      </c>
      <c r="E87" s="94"/>
    </row>
    <row r="88" spans="2:5" x14ac:dyDescent="0.25">
      <c r="B88" s="128">
        <v>44286</v>
      </c>
      <c r="C88" s="128">
        <v>44347</v>
      </c>
      <c r="D88" s="54">
        <f>'Q4 Base'!B90</f>
        <v>111</v>
      </c>
      <c r="E88" s="94"/>
    </row>
    <row r="89" spans="2:5" x14ac:dyDescent="0.25">
      <c r="B89" s="128">
        <v>44316</v>
      </c>
      <c r="C89" s="128">
        <v>44377</v>
      </c>
      <c r="D89" s="54">
        <f>'Q4 Base'!B91</f>
        <v>111.7</v>
      </c>
      <c r="E89" s="94"/>
    </row>
    <row r="90" spans="2:5" x14ac:dyDescent="0.25">
      <c r="B90" s="128">
        <v>44347</v>
      </c>
      <c r="C90" s="128">
        <v>44408</v>
      </c>
      <c r="D90" s="54">
        <f>'Q4 Base'!B92</f>
        <v>112</v>
      </c>
      <c r="E90" s="94"/>
    </row>
    <row r="91" spans="2:5" x14ac:dyDescent="0.25">
      <c r="B91" s="128">
        <v>44377</v>
      </c>
      <c r="C91" s="128">
        <v>44439</v>
      </c>
      <c r="D91" s="54">
        <f>'Q4 Base'!B93</f>
        <v>112.4</v>
      </c>
      <c r="E91" s="94"/>
    </row>
    <row r="92" spans="2:5" x14ac:dyDescent="0.25">
      <c r="B92" s="128">
        <v>44408</v>
      </c>
      <c r="C92" s="128">
        <v>44469</v>
      </c>
      <c r="D92" s="54">
        <f>'Q4 Base'!B94</f>
        <v>112.8</v>
      </c>
      <c r="E92" s="94"/>
    </row>
    <row r="93" spans="2:5" x14ac:dyDescent="0.25">
      <c r="B93" s="128">
        <v>44439</v>
      </c>
      <c r="C93" s="128">
        <v>44500</v>
      </c>
      <c r="D93" s="54">
        <f>'Q4 Base'!B95</f>
        <v>113.1</v>
      </c>
      <c r="E93" s="94"/>
    </row>
    <row r="94" spans="2:5" x14ac:dyDescent="0.25">
      <c r="B94" s="128">
        <v>44469</v>
      </c>
      <c r="C94" s="128">
        <v>44530</v>
      </c>
      <c r="D94" s="54">
        <f>'Q4 Base'!B96</f>
        <v>113.4</v>
      </c>
      <c r="E94" s="94"/>
    </row>
    <row r="95" spans="2:5" x14ac:dyDescent="0.25">
      <c r="B95" s="128">
        <v>44500</v>
      </c>
      <c r="C95" s="128">
        <v>44561</v>
      </c>
      <c r="D95" s="54">
        <f>'Q4 Base'!B97</f>
        <v>113.4</v>
      </c>
      <c r="E95" s="94"/>
    </row>
    <row r="96" spans="2:5" x14ac:dyDescent="0.25">
      <c r="B96" s="128">
        <v>44530</v>
      </c>
      <c r="C96" s="128">
        <v>44592</v>
      </c>
      <c r="D96" s="54">
        <f>'Q4 Base'!B98</f>
        <v>113.5</v>
      </c>
      <c r="E96" s="94"/>
    </row>
    <row r="97" spans="2:5" x14ac:dyDescent="0.25">
      <c r="B97" s="128">
        <v>44561</v>
      </c>
      <c r="C97" s="128">
        <v>44620</v>
      </c>
      <c r="D97" s="54">
        <f>'Q4 Base'!B99</f>
        <v>113.8</v>
      </c>
      <c r="E97" s="94"/>
    </row>
    <row r="98" spans="2:5" x14ac:dyDescent="0.25">
      <c r="B98" s="128">
        <v>44592</v>
      </c>
      <c r="C98" s="128">
        <v>44651</v>
      </c>
      <c r="D98" s="54">
        <f>'Q4 Base'!B100</f>
        <v>114.1</v>
      </c>
      <c r="E98" s="94"/>
    </row>
    <row r="99" spans="2:5" x14ac:dyDescent="0.25">
      <c r="B99" s="128">
        <v>44620</v>
      </c>
      <c r="C99" s="128">
        <v>44681</v>
      </c>
      <c r="D99" s="54">
        <f>'Q4 Base'!B101</f>
        <v>115.2</v>
      </c>
      <c r="E99" s="94"/>
    </row>
    <row r="100" spans="2:5" x14ac:dyDescent="0.25">
      <c r="B100" s="128">
        <v>44651</v>
      </c>
      <c r="C100" s="128">
        <v>44712</v>
      </c>
      <c r="D100" s="54">
        <f>'Q4 Base'!B102</f>
        <v>115.6</v>
      </c>
      <c r="E100" s="94"/>
    </row>
    <row r="101" spans="2:5" x14ac:dyDescent="0.25">
      <c r="B101" s="128">
        <v>44681</v>
      </c>
      <c r="C101" s="128">
        <v>44742</v>
      </c>
      <c r="D101" s="54">
        <f>'Q4 Base'!B103</f>
        <v>115</v>
      </c>
      <c r="E101" s="94"/>
    </row>
    <row r="102" spans="2:5" x14ac:dyDescent="0.25">
      <c r="B102" s="128">
        <v>44712</v>
      </c>
      <c r="C102" s="128">
        <v>44773</v>
      </c>
      <c r="D102" s="54">
        <f>'Q4 Base'!B104</f>
        <v>114.3</v>
      </c>
      <c r="E102" s="94"/>
    </row>
    <row r="103" spans="2:5" x14ac:dyDescent="0.25">
      <c r="B103" s="128">
        <v>44742</v>
      </c>
      <c r="C103" s="128">
        <v>44804</v>
      </c>
      <c r="D103" s="54">
        <f>'Q4 Base'!B105</f>
        <v>114.9</v>
      </c>
      <c r="E103" s="94"/>
    </row>
    <row r="104" spans="2:5" x14ac:dyDescent="0.25">
      <c r="B104" s="128">
        <v>44773</v>
      </c>
      <c r="C104" s="128">
        <v>44834</v>
      </c>
      <c r="D104" s="54">
        <f>'Q4 Base'!B106</f>
        <v>116.4</v>
      </c>
      <c r="E104" s="94"/>
    </row>
    <row r="105" spans="2:5" x14ac:dyDescent="0.25">
      <c r="B105" s="128">
        <v>44804</v>
      </c>
      <c r="C105" s="128">
        <v>44865</v>
      </c>
      <c r="D105" s="54">
        <f>'Q4 Base'!B107</f>
        <v>116.6</v>
      </c>
      <c r="E105" s="94"/>
    </row>
    <row r="106" spans="2:5" x14ac:dyDescent="0.25">
      <c r="B106" s="128">
        <v>44834</v>
      </c>
      <c r="C106" s="128">
        <v>44895</v>
      </c>
      <c r="D106" s="54">
        <f>'Q4 Base'!B108</f>
        <v>116.8</v>
      </c>
      <c r="E106" s="94"/>
    </row>
    <row r="107" spans="2:5" x14ac:dyDescent="0.25">
      <c r="B107" s="128">
        <v>44865</v>
      </c>
      <c r="C107" s="128">
        <v>44926</v>
      </c>
      <c r="D107" s="54">
        <f>'Q4 Base'!B109</f>
        <v>117.1</v>
      </c>
      <c r="E107" s="94"/>
    </row>
    <row r="108" spans="2:5" x14ac:dyDescent="0.25">
      <c r="B108" s="128">
        <v>44895</v>
      </c>
      <c r="C108" s="128">
        <v>44957</v>
      </c>
      <c r="D108" s="54">
        <f>'Q4 Base'!B110</f>
        <v>117.1</v>
      </c>
      <c r="E108" s="94"/>
    </row>
    <row r="109" spans="2:5" x14ac:dyDescent="0.25">
      <c r="B109" s="128">
        <v>44926</v>
      </c>
      <c r="C109" s="128">
        <v>44985</v>
      </c>
      <c r="D109" s="54">
        <f>'Q4 Base'!B111</f>
        <v>117.3</v>
      </c>
      <c r="E109" s="94"/>
    </row>
    <row r="110" spans="2:5" x14ac:dyDescent="0.25">
      <c r="B110" s="128">
        <v>44957</v>
      </c>
      <c r="C110" s="128">
        <v>45016</v>
      </c>
      <c r="D110" s="54">
        <f>'Q4 Base'!B112</f>
        <v>117.7</v>
      </c>
      <c r="E110" s="94"/>
    </row>
    <row r="111" spans="2:5" x14ac:dyDescent="0.25">
      <c r="B111" s="128">
        <v>44985</v>
      </c>
      <c r="C111" s="128">
        <v>45046</v>
      </c>
      <c r="D111" s="54">
        <f>'Q4 Base'!B113</f>
        <v>118.5</v>
      </c>
      <c r="E111" s="94"/>
    </row>
    <row r="112" spans="2:5" x14ac:dyDescent="0.25">
      <c r="B112" s="128">
        <v>45016</v>
      </c>
      <c r="C112" s="128">
        <v>45077</v>
      </c>
      <c r="D112" s="54">
        <f>'Q4 Base'!B114</f>
        <v>119.3</v>
      </c>
      <c r="E112" s="94"/>
    </row>
    <row r="113" spans="2:5" x14ac:dyDescent="0.25">
      <c r="B113" s="128">
        <v>45046</v>
      </c>
      <c r="C113" s="128">
        <v>45107</v>
      </c>
      <c r="D113" s="54">
        <f>'Q4 Base'!B115</f>
        <v>120.1</v>
      </c>
      <c r="E113" s="94"/>
    </row>
    <row r="114" spans="2:5" x14ac:dyDescent="0.25">
      <c r="B114" s="128">
        <v>45077</v>
      </c>
      <c r="C114" s="128">
        <v>45138</v>
      </c>
      <c r="D114" s="54">
        <f>'Q4 Base'!B116</f>
        <v>120.2</v>
      </c>
      <c r="E114" s="94"/>
    </row>
    <row r="115" spans="2:5" x14ac:dyDescent="0.25">
      <c r="B115" s="128">
        <v>45107</v>
      </c>
      <c r="C115" s="128">
        <v>45169</v>
      </c>
      <c r="D115" s="54">
        <f>'Q4 Base'!B117</f>
        <v>120.5</v>
      </c>
      <c r="E115" s="94"/>
    </row>
    <row r="116" spans="2:5" x14ac:dyDescent="0.25">
      <c r="B116" s="128">
        <v>45138</v>
      </c>
      <c r="C116" s="128">
        <v>45199</v>
      </c>
      <c r="D116" s="54">
        <f>'Q4 Base'!B118</f>
        <v>121.8</v>
      </c>
      <c r="E116" s="94"/>
    </row>
    <row r="117" spans="2:5" x14ac:dyDescent="0.25">
      <c r="B117" s="128">
        <v>45169</v>
      </c>
      <c r="C117" s="128">
        <v>45230</v>
      </c>
      <c r="D117" s="54">
        <f>'Q4 Base'!B119</f>
        <v>122.3</v>
      </c>
      <c r="E117" s="94"/>
    </row>
    <row r="118" spans="2:5" x14ac:dyDescent="0.25">
      <c r="B118" s="128">
        <v>45199</v>
      </c>
      <c r="C118" s="128">
        <v>45260</v>
      </c>
      <c r="D118" s="54">
        <f>'Q4 Base'!B120</f>
        <v>122.6</v>
      </c>
      <c r="E118" s="94"/>
    </row>
    <row r="119" spans="2:5" x14ac:dyDescent="0.25">
      <c r="B119" s="128">
        <v>45230</v>
      </c>
      <c r="C119" s="128">
        <v>45291</v>
      </c>
      <c r="D119" s="54">
        <f>'Q4 Base'!B121</f>
        <v>122.9</v>
      </c>
      <c r="E119" s="94"/>
    </row>
    <row r="120" spans="2:5" x14ac:dyDescent="0.25">
      <c r="B120" s="128">
        <v>45260</v>
      </c>
      <c r="C120" s="128">
        <v>45322</v>
      </c>
      <c r="D120" s="54">
        <f>'Q4 Base'!B122</f>
        <v>123.5</v>
      </c>
      <c r="E120" s="94"/>
    </row>
    <row r="121" spans="2:5" x14ac:dyDescent="0.25">
      <c r="B121" s="128">
        <v>45291</v>
      </c>
      <c r="C121" s="128">
        <v>45351</v>
      </c>
      <c r="D121" s="54">
        <f>'Q4 Base'!B123</f>
        <v>124.2</v>
      </c>
      <c r="E121" s="94"/>
    </row>
    <row r="122" spans="2:5" x14ac:dyDescent="0.25">
      <c r="B122" s="128">
        <v>45322</v>
      </c>
      <c r="C122" s="128">
        <v>45382</v>
      </c>
      <c r="D122" s="54">
        <f>'Q4 Base'!B124</f>
        <v>124.5</v>
      </c>
      <c r="E122" s="94"/>
    </row>
    <row r="123" spans="2:5" x14ac:dyDescent="0.25">
      <c r="B123" s="128">
        <v>45351</v>
      </c>
      <c r="C123" s="128">
        <v>45412</v>
      </c>
      <c r="D123" s="54">
        <f>'Q4 Base'!B125</f>
        <v>125.2</v>
      </c>
      <c r="E123" s="94"/>
    </row>
    <row r="124" spans="2:5" x14ac:dyDescent="0.25">
      <c r="B124" s="128">
        <v>45382</v>
      </c>
      <c r="C124" s="128">
        <v>45443</v>
      </c>
      <c r="D124" s="54">
        <f>'Q4 Base'!B126</f>
        <v>126.5</v>
      </c>
      <c r="E124" s="94"/>
    </row>
    <row r="125" spans="2:5" x14ac:dyDescent="0.25">
      <c r="B125" s="128">
        <v>45412</v>
      </c>
      <c r="C125" s="128">
        <v>45473</v>
      </c>
      <c r="D125" s="54">
        <f>'Q4 Base'!B127</f>
        <v>127.2</v>
      </c>
      <c r="E125" s="94"/>
    </row>
    <row r="126" spans="2:5" x14ac:dyDescent="0.25">
      <c r="B126" s="128">
        <v>45443</v>
      </c>
      <c r="C126" s="128">
        <v>45504</v>
      </c>
      <c r="D126" s="54">
        <f>'Q4 Base'!B128</f>
        <v>128.1</v>
      </c>
      <c r="E126" s="94"/>
    </row>
    <row r="127" spans="2:5" x14ac:dyDescent="0.25">
      <c r="B127" s="128">
        <v>45473</v>
      </c>
      <c r="C127" s="128">
        <v>45535</v>
      </c>
      <c r="D127" s="54">
        <f>'Q4 Base'!B129</f>
        <v>129.4</v>
      </c>
      <c r="E127" s="94"/>
    </row>
    <row r="128" spans="2:5" x14ac:dyDescent="0.25">
      <c r="B128" s="128">
        <v>45504</v>
      </c>
      <c r="C128" s="128">
        <v>45565</v>
      </c>
      <c r="D128" s="54">
        <f>'Q4 Base'!B130</f>
        <v>131.4</v>
      </c>
      <c r="E128" s="94"/>
    </row>
    <row r="129" spans="2:5" x14ac:dyDescent="0.25">
      <c r="B129" s="128">
        <v>45535</v>
      </c>
      <c r="C129" s="128">
        <v>45596</v>
      </c>
      <c r="D129" s="54">
        <f>'Q4 Base'!B131</f>
        <v>131.69999999999999</v>
      </c>
      <c r="E129" s="94"/>
    </row>
    <row r="130" spans="2:5" x14ac:dyDescent="0.25">
      <c r="B130" s="128">
        <v>45565</v>
      </c>
      <c r="C130" s="128">
        <v>45626</v>
      </c>
      <c r="D130" s="54">
        <f>'Q4 Base'!B132</f>
        <v>131.80000000000001</v>
      </c>
      <c r="E130" s="94"/>
    </row>
    <row r="131" spans="2:5" x14ac:dyDescent="0.25">
      <c r="B131" s="128">
        <v>45596</v>
      </c>
      <c r="C131" s="128">
        <v>45657</v>
      </c>
      <c r="D131" s="54">
        <f>'Q4 Base'!B133</f>
        <v>132.30000000000001</v>
      </c>
      <c r="E131" s="94"/>
    </row>
    <row r="132" spans="2:5" x14ac:dyDescent="0.25">
      <c r="B132" s="128">
        <v>45626</v>
      </c>
      <c r="C132" s="128">
        <v>45688</v>
      </c>
      <c r="D132" s="54">
        <f>'Q4 Base'!B134</f>
        <v>132.69999999999999</v>
      </c>
      <c r="E132" s="94"/>
    </row>
    <row r="133" spans="2:5" x14ac:dyDescent="0.25">
      <c r="B133" s="128">
        <v>45657</v>
      </c>
      <c r="C133" s="128">
        <v>45716</v>
      </c>
      <c r="D133" s="54">
        <f>'Q4 Base'!B135</f>
        <v>133.19999999999999</v>
      </c>
      <c r="E133" s="94"/>
    </row>
  </sheetData>
  <printOptions gridLines="1" gridLinesSet="0"/>
  <pageMargins left="0.7" right="0.7" top="0.75" bottom="0.75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workbookViewId="0">
      <selection activeCell="I12" sqref="I12"/>
    </sheetView>
  </sheetViews>
  <sheetFormatPr defaultRowHeight="15" x14ac:dyDescent="0.25"/>
  <cols>
    <col min="3" max="3" width="13.42578125" customWidth="1"/>
  </cols>
  <sheetData>
    <row r="1" spans="1:3" x14ac:dyDescent="0.25">
      <c r="A1" t="s">
        <v>59</v>
      </c>
      <c r="B1" t="s">
        <v>151</v>
      </c>
      <c r="C1" s="36">
        <f>'Q4 (i)'!O7</f>
        <v>1368608.3534538867</v>
      </c>
    </row>
    <row r="3" spans="1:3" x14ac:dyDescent="0.25">
      <c r="A3" t="s">
        <v>60</v>
      </c>
      <c r="B3" t="s">
        <v>199</v>
      </c>
      <c r="C3" s="37"/>
    </row>
  </sheetData>
  <printOptions gridLines="1" gridLinesSet="0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/>
  </sheetViews>
  <sheetFormatPr defaultRowHeight="15" x14ac:dyDescent="0.25"/>
  <cols>
    <col min="1" max="2" width="9.140625" style="45"/>
    <col min="3" max="3" width="14.28515625" style="45" bestFit="1" customWidth="1"/>
    <col min="4" max="4" width="9.5703125" style="45" bestFit="1" customWidth="1"/>
    <col min="5" max="6" width="21.7109375" style="45" bestFit="1" customWidth="1"/>
    <col min="7" max="8" width="14.28515625" style="45" bestFit="1" customWidth="1"/>
    <col min="9" max="10" width="11.5703125" style="45" bestFit="1" customWidth="1"/>
    <col min="11" max="11" width="11.5703125" style="45" customWidth="1"/>
    <col min="12" max="13" width="9.140625" style="45"/>
    <col min="14" max="14" width="9.140625" style="44"/>
    <col min="15" max="16384" width="9.140625" style="45"/>
  </cols>
  <sheetData>
    <row r="1" spans="1:14" s="44" customFormat="1" x14ac:dyDescent="0.25">
      <c r="C1" s="44" t="s">
        <v>40</v>
      </c>
      <c r="D1" s="44" t="s">
        <v>40</v>
      </c>
      <c r="E1" s="44" t="s">
        <v>40</v>
      </c>
      <c r="F1" s="44" t="s">
        <v>40</v>
      </c>
      <c r="G1" s="44" t="s">
        <v>40</v>
      </c>
      <c r="H1" s="44" t="s">
        <v>40</v>
      </c>
      <c r="I1" s="44" t="s">
        <v>40</v>
      </c>
      <c r="J1" s="44" t="s">
        <v>40</v>
      </c>
    </row>
    <row r="2" spans="1:14" x14ac:dyDescent="0.25">
      <c r="B2" s="46" t="s">
        <v>41</v>
      </c>
      <c r="D2" s="47">
        <v>4000</v>
      </c>
      <c r="E2" s="48">
        <v>0.02</v>
      </c>
      <c r="F2" s="49">
        <v>4.4999999999999998E-2</v>
      </c>
      <c r="G2" s="48">
        <v>0.15</v>
      </c>
      <c r="H2" s="50">
        <v>100000</v>
      </c>
    </row>
    <row r="3" spans="1:14" s="51" customFormat="1" ht="45" x14ac:dyDescent="0.25">
      <c r="A3" s="51" t="s">
        <v>2</v>
      </c>
      <c r="B3" s="51" t="s">
        <v>1</v>
      </c>
      <c r="C3" s="51" t="s">
        <v>42</v>
      </c>
      <c r="D3" s="51" t="s">
        <v>43</v>
      </c>
      <c r="E3" s="51" t="s">
        <v>44</v>
      </c>
      <c r="F3" s="51" t="s">
        <v>45</v>
      </c>
      <c r="G3" s="51" t="s">
        <v>46</v>
      </c>
      <c r="H3" s="51" t="s">
        <v>47</v>
      </c>
      <c r="I3" s="51" t="s">
        <v>48</v>
      </c>
      <c r="J3" s="51" t="s">
        <v>49</v>
      </c>
      <c r="N3" s="52"/>
    </row>
    <row r="4" spans="1:14" x14ac:dyDescent="0.25">
      <c r="A4" s="53">
        <v>33</v>
      </c>
      <c r="B4" s="53">
        <v>1</v>
      </c>
      <c r="C4" s="54">
        <v>0</v>
      </c>
      <c r="D4" s="54">
        <f>IF(B4&lt;=25,$D$2,0)</f>
        <v>4000</v>
      </c>
      <c r="E4" s="54">
        <f t="shared" ref="E4:E33" si="0">(C4+D4)*(1+$E$2)</f>
        <v>4080</v>
      </c>
      <c r="F4" s="54">
        <f t="shared" ref="F4:F33" si="1">(1+$F$2)*E4</f>
        <v>4263.5999999999995</v>
      </c>
      <c r="G4" s="54">
        <f t="shared" ref="G4:G33" si="2">F4*(1+$G$2)</f>
        <v>4903.1399999999994</v>
      </c>
      <c r="H4" s="55">
        <f t="shared" ref="H4:H33" si="3">MAX(G4,$H$2)</f>
        <v>100000</v>
      </c>
      <c r="I4" s="55">
        <f>SUM($D$4:D4)</f>
        <v>4000</v>
      </c>
      <c r="M4" s="56" t="s">
        <v>42</v>
      </c>
      <c r="N4" s="44">
        <v>1</v>
      </c>
    </row>
    <row r="5" spans="1:14" x14ac:dyDescent="0.25">
      <c r="A5" s="53">
        <v>34</v>
      </c>
      <c r="B5" s="53">
        <v>2</v>
      </c>
      <c r="C5" s="54">
        <f t="shared" ref="C5:C33" si="4">F4</f>
        <v>4263.5999999999995</v>
      </c>
      <c r="D5" s="54">
        <f t="shared" ref="D5:D33" si="5">IF(B5&lt;=25,$D$2,0)</f>
        <v>4000</v>
      </c>
      <c r="E5" s="54">
        <f t="shared" si="0"/>
        <v>8428.8719999999994</v>
      </c>
      <c r="F5" s="54">
        <f t="shared" si="1"/>
        <v>8808.1712399999997</v>
      </c>
      <c r="G5" s="54">
        <f t="shared" si="2"/>
        <v>10129.396925999999</v>
      </c>
      <c r="H5" s="55">
        <f t="shared" si="3"/>
        <v>100000</v>
      </c>
      <c r="I5" s="55">
        <f>SUM($D$4:D5)</f>
        <v>8000</v>
      </c>
      <c r="M5" s="56" t="s">
        <v>43</v>
      </c>
      <c r="N5" s="44">
        <v>1</v>
      </c>
    </row>
    <row r="6" spans="1:14" x14ac:dyDescent="0.25">
      <c r="A6" s="53">
        <v>35</v>
      </c>
      <c r="B6" s="53">
        <v>3</v>
      </c>
      <c r="C6" s="54">
        <f t="shared" si="4"/>
        <v>8808.1712399999997</v>
      </c>
      <c r="D6" s="54">
        <f t="shared" si="5"/>
        <v>4000</v>
      </c>
      <c r="E6" s="54">
        <f t="shared" si="0"/>
        <v>13064.334664800001</v>
      </c>
      <c r="F6" s="54">
        <f t="shared" si="1"/>
        <v>13652.229724716</v>
      </c>
      <c r="G6" s="54">
        <f t="shared" si="2"/>
        <v>15700.064183423399</v>
      </c>
      <c r="H6" s="55">
        <f t="shared" si="3"/>
        <v>100000</v>
      </c>
      <c r="I6" s="55">
        <f>SUM($D$4:D6)</f>
        <v>12000</v>
      </c>
      <c r="M6" s="56" t="s">
        <v>44</v>
      </c>
      <c r="N6" s="44">
        <v>1</v>
      </c>
    </row>
    <row r="7" spans="1:14" x14ac:dyDescent="0.25">
      <c r="A7" s="53">
        <v>36</v>
      </c>
      <c r="B7" s="53">
        <v>4</v>
      </c>
      <c r="C7" s="54">
        <f t="shared" si="4"/>
        <v>13652.229724716</v>
      </c>
      <c r="D7" s="54">
        <f t="shared" si="5"/>
        <v>4000</v>
      </c>
      <c r="E7" s="54">
        <f t="shared" si="0"/>
        <v>18005.274319210323</v>
      </c>
      <c r="F7" s="54">
        <f t="shared" si="1"/>
        <v>18815.511663574787</v>
      </c>
      <c r="G7" s="54">
        <f t="shared" si="2"/>
        <v>21637.838413111003</v>
      </c>
      <c r="H7" s="55">
        <f t="shared" si="3"/>
        <v>100000</v>
      </c>
      <c r="I7" s="55">
        <f>SUM($D$4:D7)</f>
        <v>16000</v>
      </c>
      <c r="M7" s="56" t="s">
        <v>45</v>
      </c>
      <c r="N7" s="44">
        <v>1</v>
      </c>
    </row>
    <row r="8" spans="1:14" x14ac:dyDescent="0.25">
      <c r="A8" s="53">
        <v>37</v>
      </c>
      <c r="B8" s="53">
        <v>5</v>
      </c>
      <c r="C8" s="54">
        <f t="shared" si="4"/>
        <v>18815.511663574787</v>
      </c>
      <c r="D8" s="54">
        <f t="shared" si="5"/>
        <v>4000</v>
      </c>
      <c r="E8" s="54">
        <f t="shared" si="0"/>
        <v>23271.821896846282</v>
      </c>
      <c r="F8" s="54">
        <f t="shared" si="1"/>
        <v>24319.053882204364</v>
      </c>
      <c r="G8" s="54">
        <f t="shared" si="2"/>
        <v>27966.911964535015</v>
      </c>
      <c r="H8" s="55">
        <f t="shared" si="3"/>
        <v>100000</v>
      </c>
      <c r="I8" s="55">
        <f>SUM($D$4:D8)</f>
        <v>20000</v>
      </c>
      <c r="M8" s="56" t="s">
        <v>46</v>
      </c>
      <c r="N8" s="44">
        <v>1</v>
      </c>
    </row>
    <row r="9" spans="1:14" x14ac:dyDescent="0.25">
      <c r="A9" s="53">
        <v>38</v>
      </c>
      <c r="B9" s="53">
        <v>6</v>
      </c>
      <c r="C9" s="54">
        <f t="shared" si="4"/>
        <v>24319.053882204364</v>
      </c>
      <c r="D9" s="54">
        <f t="shared" si="5"/>
        <v>4000</v>
      </c>
      <c r="E9" s="54">
        <f t="shared" si="0"/>
        <v>28885.434959848451</v>
      </c>
      <c r="F9" s="54">
        <f t="shared" si="1"/>
        <v>30185.27953304163</v>
      </c>
      <c r="G9" s="54">
        <f t="shared" si="2"/>
        <v>34713.071462997876</v>
      </c>
      <c r="H9" s="55">
        <f t="shared" si="3"/>
        <v>100000</v>
      </c>
      <c r="I9" s="55">
        <f>SUM($D$4:D9)</f>
        <v>24000</v>
      </c>
      <c r="M9" s="56" t="s">
        <v>47</v>
      </c>
      <c r="N9" s="44">
        <v>1</v>
      </c>
    </row>
    <row r="10" spans="1:14" x14ac:dyDescent="0.25">
      <c r="A10" s="53">
        <v>39</v>
      </c>
      <c r="B10" s="53">
        <v>7</v>
      </c>
      <c r="C10" s="54">
        <f t="shared" si="4"/>
        <v>30185.27953304163</v>
      </c>
      <c r="D10" s="54">
        <f t="shared" si="5"/>
        <v>4000</v>
      </c>
      <c r="E10" s="54">
        <f t="shared" si="0"/>
        <v>34868.985123702463</v>
      </c>
      <c r="F10" s="54">
        <f t="shared" si="1"/>
        <v>36438.089454269073</v>
      </c>
      <c r="G10" s="54">
        <f t="shared" si="2"/>
        <v>41903.802872409433</v>
      </c>
      <c r="H10" s="55">
        <f t="shared" si="3"/>
        <v>100000</v>
      </c>
      <c r="I10" s="55">
        <f>SUM($D$4:D10)</f>
        <v>28000</v>
      </c>
      <c r="M10" s="56" t="s">
        <v>48</v>
      </c>
      <c r="N10" s="44">
        <v>1</v>
      </c>
    </row>
    <row r="11" spans="1:14" x14ac:dyDescent="0.25">
      <c r="A11" s="53">
        <v>40</v>
      </c>
      <c r="B11" s="53">
        <v>8</v>
      </c>
      <c r="C11" s="54">
        <f t="shared" si="4"/>
        <v>36438.089454269073</v>
      </c>
      <c r="D11" s="54">
        <f t="shared" si="5"/>
        <v>4000</v>
      </c>
      <c r="E11" s="54">
        <f t="shared" si="0"/>
        <v>41246.851243354453</v>
      </c>
      <c r="F11" s="54">
        <f t="shared" si="1"/>
        <v>43102.9595493054</v>
      </c>
      <c r="G11" s="54">
        <f t="shared" si="2"/>
        <v>49568.403481701207</v>
      </c>
      <c r="H11" s="55">
        <f t="shared" si="3"/>
        <v>100000</v>
      </c>
      <c r="I11" s="55">
        <f>SUM($D$4:D11)</f>
        <v>32000</v>
      </c>
      <c r="M11" s="56" t="s">
        <v>49</v>
      </c>
      <c r="N11" s="44">
        <v>1</v>
      </c>
    </row>
    <row r="12" spans="1:14" x14ac:dyDescent="0.25">
      <c r="A12" s="53">
        <v>41</v>
      </c>
      <c r="B12" s="53">
        <v>9</v>
      </c>
      <c r="C12" s="54">
        <f t="shared" si="4"/>
        <v>43102.9595493054</v>
      </c>
      <c r="D12" s="54">
        <f t="shared" si="5"/>
        <v>4000</v>
      </c>
      <c r="E12" s="54">
        <f t="shared" si="0"/>
        <v>48045.018740291511</v>
      </c>
      <c r="F12" s="54">
        <f t="shared" si="1"/>
        <v>50207.044583604627</v>
      </c>
      <c r="G12" s="54">
        <f t="shared" si="2"/>
        <v>57738.101271145315</v>
      </c>
      <c r="H12" s="55">
        <f t="shared" si="3"/>
        <v>100000</v>
      </c>
      <c r="I12" s="55">
        <f>SUM($D$4:D12)</f>
        <v>36000</v>
      </c>
      <c r="N12" s="57">
        <f>SUM(N4:N11)</f>
        <v>8</v>
      </c>
    </row>
    <row r="13" spans="1:14" x14ac:dyDescent="0.25">
      <c r="A13" s="53">
        <v>42</v>
      </c>
      <c r="B13" s="53">
        <v>10</v>
      </c>
      <c r="C13" s="54">
        <f t="shared" si="4"/>
        <v>50207.044583604627</v>
      </c>
      <c r="D13" s="54">
        <f t="shared" si="5"/>
        <v>4000</v>
      </c>
      <c r="E13" s="54">
        <f t="shared" si="0"/>
        <v>55291.185475276718</v>
      </c>
      <c r="F13" s="54">
        <f t="shared" si="1"/>
        <v>57779.288821664166</v>
      </c>
      <c r="G13" s="54">
        <f t="shared" si="2"/>
        <v>66446.182144913779</v>
      </c>
      <c r="H13" s="55">
        <f t="shared" si="3"/>
        <v>100000</v>
      </c>
      <c r="I13" s="55">
        <f>SUM($D$4:D13)</f>
        <v>40000</v>
      </c>
    </row>
    <row r="14" spans="1:14" x14ac:dyDescent="0.25">
      <c r="A14" s="53">
        <v>43</v>
      </c>
      <c r="B14" s="53">
        <v>11</v>
      </c>
      <c r="C14" s="54">
        <f t="shared" si="4"/>
        <v>57779.288821664166</v>
      </c>
      <c r="D14" s="54">
        <f t="shared" si="5"/>
        <v>4000</v>
      </c>
      <c r="E14" s="54">
        <f t="shared" si="0"/>
        <v>63014.874598097449</v>
      </c>
      <c r="F14" s="54">
        <f t="shared" si="1"/>
        <v>65850.543955011832</v>
      </c>
      <c r="G14" s="54">
        <f t="shared" si="2"/>
        <v>75728.125548263604</v>
      </c>
      <c r="H14" s="55">
        <f t="shared" si="3"/>
        <v>100000</v>
      </c>
      <c r="I14" s="55">
        <f>SUM($D$4:D14)</f>
        <v>44000</v>
      </c>
    </row>
    <row r="15" spans="1:14" x14ac:dyDescent="0.25">
      <c r="A15" s="53">
        <v>44</v>
      </c>
      <c r="B15" s="53">
        <v>12</v>
      </c>
      <c r="C15" s="54">
        <f t="shared" si="4"/>
        <v>65850.543955011832</v>
      </c>
      <c r="D15" s="54">
        <f t="shared" si="5"/>
        <v>4000</v>
      </c>
      <c r="E15" s="54">
        <f t="shared" si="0"/>
        <v>71247.554834112074</v>
      </c>
      <c r="F15" s="54">
        <f t="shared" si="1"/>
        <v>74453.694801647114</v>
      </c>
      <c r="G15" s="54">
        <f t="shared" si="2"/>
        <v>85621.749021894168</v>
      </c>
      <c r="H15" s="55">
        <f t="shared" si="3"/>
        <v>100000</v>
      </c>
      <c r="I15" s="55">
        <f>SUM($D$4:D15)</f>
        <v>48000</v>
      </c>
    </row>
    <row r="16" spans="1:14" x14ac:dyDescent="0.25">
      <c r="A16" s="53">
        <v>45</v>
      </c>
      <c r="B16" s="53">
        <v>13</v>
      </c>
      <c r="C16" s="54">
        <f t="shared" si="4"/>
        <v>74453.694801647114</v>
      </c>
      <c r="D16" s="54">
        <f t="shared" si="5"/>
        <v>4000</v>
      </c>
      <c r="E16" s="54">
        <f t="shared" si="0"/>
        <v>80022.768697680061</v>
      </c>
      <c r="F16" s="54">
        <f t="shared" si="1"/>
        <v>83623.793289075664</v>
      </c>
      <c r="G16" s="54">
        <f t="shared" si="2"/>
        <v>96167.36228243701</v>
      </c>
      <c r="H16" s="55">
        <f t="shared" si="3"/>
        <v>100000</v>
      </c>
      <c r="I16" s="55">
        <f>SUM($D$4:D16)</f>
        <v>52000</v>
      </c>
    </row>
    <row r="17" spans="1:9" x14ac:dyDescent="0.25">
      <c r="A17" s="53">
        <v>46</v>
      </c>
      <c r="B17" s="53">
        <v>14</v>
      </c>
      <c r="C17" s="54">
        <f t="shared" si="4"/>
        <v>83623.793289075664</v>
      </c>
      <c r="D17" s="54">
        <f t="shared" si="5"/>
        <v>4000</v>
      </c>
      <c r="E17" s="54">
        <f t="shared" si="0"/>
        <v>89376.269154857175</v>
      </c>
      <c r="F17" s="54">
        <f t="shared" si="1"/>
        <v>93398.201266825738</v>
      </c>
      <c r="G17" s="54">
        <f t="shared" si="2"/>
        <v>107407.93145684959</v>
      </c>
      <c r="H17" s="55">
        <f t="shared" si="3"/>
        <v>107407.93145684959</v>
      </c>
      <c r="I17" s="55">
        <f>SUM($D$4:D17)</f>
        <v>56000</v>
      </c>
    </row>
    <row r="18" spans="1:9" x14ac:dyDescent="0.25">
      <c r="A18" s="53">
        <v>47</v>
      </c>
      <c r="B18" s="53">
        <v>15</v>
      </c>
      <c r="C18" s="54">
        <f t="shared" si="4"/>
        <v>93398.201266825738</v>
      </c>
      <c r="D18" s="54">
        <f t="shared" si="5"/>
        <v>4000</v>
      </c>
      <c r="E18" s="54">
        <f t="shared" si="0"/>
        <v>99346.165292162259</v>
      </c>
      <c r="F18" s="54">
        <f t="shared" si="1"/>
        <v>103816.74273030955</v>
      </c>
      <c r="G18" s="54">
        <f t="shared" si="2"/>
        <v>119389.25413985597</v>
      </c>
      <c r="H18" s="55">
        <f t="shared" si="3"/>
        <v>119389.25413985597</v>
      </c>
      <c r="I18" s="55">
        <f>SUM($D$4:D18)</f>
        <v>60000</v>
      </c>
    </row>
    <row r="19" spans="1:9" x14ac:dyDescent="0.25">
      <c r="A19" s="53">
        <v>48</v>
      </c>
      <c r="B19" s="53">
        <v>16</v>
      </c>
      <c r="C19" s="54">
        <f t="shared" si="4"/>
        <v>103816.74273030955</v>
      </c>
      <c r="D19" s="54">
        <f t="shared" si="5"/>
        <v>4000</v>
      </c>
      <c r="E19" s="54">
        <f t="shared" si="0"/>
        <v>109973.07758491574</v>
      </c>
      <c r="F19" s="54">
        <f t="shared" si="1"/>
        <v>114921.86607623694</v>
      </c>
      <c r="G19" s="54">
        <f t="shared" si="2"/>
        <v>132160.14598767247</v>
      </c>
      <c r="H19" s="55">
        <f t="shared" si="3"/>
        <v>132160.14598767247</v>
      </c>
      <c r="I19" s="55">
        <f>SUM($D$4:D19)</f>
        <v>64000</v>
      </c>
    </row>
    <row r="20" spans="1:9" x14ac:dyDescent="0.25">
      <c r="A20" s="53">
        <v>49</v>
      </c>
      <c r="B20" s="53">
        <v>17</v>
      </c>
      <c r="C20" s="54">
        <f t="shared" si="4"/>
        <v>114921.86607623694</v>
      </c>
      <c r="D20" s="54">
        <f t="shared" si="5"/>
        <v>4000</v>
      </c>
      <c r="E20" s="54">
        <f t="shared" si="0"/>
        <v>121300.30339776169</v>
      </c>
      <c r="F20" s="54">
        <f t="shared" si="1"/>
        <v>126758.81705066096</v>
      </c>
      <c r="G20" s="54">
        <f t="shared" si="2"/>
        <v>145772.6396082601</v>
      </c>
      <c r="H20" s="55">
        <f t="shared" si="3"/>
        <v>145772.6396082601</v>
      </c>
      <c r="I20" s="55">
        <f>SUM($D$4:D20)</f>
        <v>68000</v>
      </c>
    </row>
    <row r="21" spans="1:9" x14ac:dyDescent="0.25">
      <c r="A21" s="53">
        <v>50</v>
      </c>
      <c r="B21" s="53">
        <v>18</v>
      </c>
      <c r="C21" s="54">
        <f t="shared" si="4"/>
        <v>126758.81705066096</v>
      </c>
      <c r="D21" s="54">
        <f t="shared" si="5"/>
        <v>4000</v>
      </c>
      <c r="E21" s="54">
        <f t="shared" si="0"/>
        <v>133373.99339167419</v>
      </c>
      <c r="F21" s="54">
        <f t="shared" si="1"/>
        <v>139375.82309429953</v>
      </c>
      <c r="G21" s="54">
        <f t="shared" si="2"/>
        <v>160282.19655844444</v>
      </c>
      <c r="H21" s="55">
        <f t="shared" si="3"/>
        <v>160282.19655844444</v>
      </c>
      <c r="I21" s="55">
        <f>SUM($D$4:D21)</f>
        <v>72000</v>
      </c>
    </row>
    <row r="22" spans="1:9" x14ac:dyDescent="0.25">
      <c r="A22" s="53">
        <v>51</v>
      </c>
      <c r="B22" s="53">
        <v>19</v>
      </c>
      <c r="C22" s="54">
        <f t="shared" si="4"/>
        <v>139375.82309429953</v>
      </c>
      <c r="D22" s="54">
        <f t="shared" si="5"/>
        <v>4000</v>
      </c>
      <c r="E22" s="54">
        <f t="shared" si="0"/>
        <v>146243.33955618553</v>
      </c>
      <c r="F22" s="54">
        <f t="shared" si="1"/>
        <v>152824.28983621387</v>
      </c>
      <c r="G22" s="54">
        <f t="shared" si="2"/>
        <v>175747.93331164593</v>
      </c>
      <c r="H22" s="55">
        <f t="shared" si="3"/>
        <v>175747.93331164593</v>
      </c>
      <c r="I22" s="55">
        <f>SUM($D$4:D22)</f>
        <v>76000</v>
      </c>
    </row>
    <row r="23" spans="1:9" x14ac:dyDescent="0.25">
      <c r="A23" s="53">
        <v>52</v>
      </c>
      <c r="B23" s="53">
        <v>20</v>
      </c>
      <c r="C23" s="54">
        <f t="shared" si="4"/>
        <v>152824.28983621387</v>
      </c>
      <c r="D23" s="54">
        <f t="shared" si="5"/>
        <v>4000</v>
      </c>
      <c r="E23" s="54">
        <f t="shared" si="0"/>
        <v>159960.77563293814</v>
      </c>
      <c r="F23" s="54">
        <f t="shared" si="1"/>
        <v>167159.01053642033</v>
      </c>
      <c r="G23" s="54">
        <f t="shared" si="2"/>
        <v>192232.86211688336</v>
      </c>
      <c r="H23" s="55">
        <f t="shared" si="3"/>
        <v>192232.86211688336</v>
      </c>
      <c r="I23" s="55">
        <f>SUM($D$4:D23)</f>
        <v>80000</v>
      </c>
    </row>
    <row r="24" spans="1:9" x14ac:dyDescent="0.25">
      <c r="A24" s="53">
        <v>53</v>
      </c>
      <c r="B24" s="53">
        <v>21</v>
      </c>
      <c r="C24" s="54">
        <f t="shared" si="4"/>
        <v>167159.01053642033</v>
      </c>
      <c r="D24" s="54">
        <f t="shared" si="5"/>
        <v>4000</v>
      </c>
      <c r="E24" s="54">
        <f t="shared" si="0"/>
        <v>174582.19074714874</v>
      </c>
      <c r="F24" s="54">
        <f t="shared" si="1"/>
        <v>182438.38933077041</v>
      </c>
      <c r="G24" s="54">
        <f t="shared" si="2"/>
        <v>209804.14773038597</v>
      </c>
      <c r="H24" s="55">
        <f t="shared" si="3"/>
        <v>209804.14773038597</v>
      </c>
      <c r="I24" s="55">
        <f>SUM($D$4:D24)</f>
        <v>84000</v>
      </c>
    </row>
    <row r="25" spans="1:9" x14ac:dyDescent="0.25">
      <c r="A25" s="53">
        <v>54</v>
      </c>
      <c r="B25" s="53">
        <v>22</v>
      </c>
      <c r="C25" s="54">
        <f t="shared" si="4"/>
        <v>182438.38933077041</v>
      </c>
      <c r="D25" s="54">
        <f t="shared" si="5"/>
        <v>4000</v>
      </c>
      <c r="E25" s="54">
        <f t="shared" si="0"/>
        <v>190167.15711738582</v>
      </c>
      <c r="F25" s="54">
        <f t="shared" si="1"/>
        <v>198724.67918766817</v>
      </c>
      <c r="G25" s="54">
        <f t="shared" si="2"/>
        <v>228533.38106581836</v>
      </c>
      <c r="H25" s="55">
        <f t="shared" si="3"/>
        <v>228533.38106581836</v>
      </c>
      <c r="I25" s="55">
        <f>SUM($D$4:D25)</f>
        <v>88000</v>
      </c>
    </row>
    <row r="26" spans="1:9" x14ac:dyDescent="0.25">
      <c r="A26" s="53">
        <v>55</v>
      </c>
      <c r="B26" s="53">
        <v>23</v>
      </c>
      <c r="C26" s="54">
        <f t="shared" si="4"/>
        <v>198724.67918766817</v>
      </c>
      <c r="D26" s="54">
        <f t="shared" si="5"/>
        <v>4000</v>
      </c>
      <c r="E26" s="54">
        <f t="shared" si="0"/>
        <v>206779.17277142152</v>
      </c>
      <c r="F26" s="54">
        <f t="shared" si="1"/>
        <v>216084.23554613549</v>
      </c>
      <c r="G26" s="54">
        <f t="shared" si="2"/>
        <v>248496.87087805578</v>
      </c>
      <c r="H26" s="55">
        <f t="shared" si="3"/>
        <v>248496.87087805578</v>
      </c>
      <c r="I26" s="55">
        <f>SUM($D$4:D26)</f>
        <v>92000</v>
      </c>
    </row>
    <row r="27" spans="1:9" x14ac:dyDescent="0.25">
      <c r="A27" s="53">
        <v>56</v>
      </c>
      <c r="B27" s="53">
        <v>24</v>
      </c>
      <c r="C27" s="54">
        <f t="shared" si="4"/>
        <v>216084.23554613549</v>
      </c>
      <c r="D27" s="54">
        <f t="shared" si="5"/>
        <v>4000</v>
      </c>
      <c r="E27" s="54">
        <f t="shared" si="0"/>
        <v>224485.9202570582</v>
      </c>
      <c r="F27" s="54">
        <f t="shared" si="1"/>
        <v>234587.78666862581</v>
      </c>
      <c r="G27" s="54">
        <f t="shared" si="2"/>
        <v>269775.95466891967</v>
      </c>
      <c r="H27" s="55">
        <f t="shared" si="3"/>
        <v>269775.95466891967</v>
      </c>
      <c r="I27" s="55">
        <f>SUM($D$4:D27)</f>
        <v>96000</v>
      </c>
    </row>
    <row r="28" spans="1:9" x14ac:dyDescent="0.25">
      <c r="A28" s="53">
        <v>57</v>
      </c>
      <c r="B28" s="53">
        <v>25</v>
      </c>
      <c r="C28" s="54">
        <f t="shared" si="4"/>
        <v>234587.78666862581</v>
      </c>
      <c r="D28" s="54">
        <f t="shared" si="5"/>
        <v>4000</v>
      </c>
      <c r="E28" s="54">
        <f t="shared" si="0"/>
        <v>243359.54240199833</v>
      </c>
      <c r="F28" s="54">
        <f t="shared" si="1"/>
        <v>254310.72181008823</v>
      </c>
      <c r="G28" s="54">
        <f t="shared" si="2"/>
        <v>292457.33008160145</v>
      </c>
      <c r="H28" s="55">
        <f t="shared" si="3"/>
        <v>292457.33008160145</v>
      </c>
      <c r="I28" s="55">
        <f>SUM($D$4:D28)</f>
        <v>100000</v>
      </c>
    </row>
    <row r="29" spans="1:9" x14ac:dyDescent="0.25">
      <c r="A29" s="53">
        <v>58</v>
      </c>
      <c r="B29" s="53">
        <v>26</v>
      </c>
      <c r="C29" s="54">
        <f t="shared" si="4"/>
        <v>254310.72181008823</v>
      </c>
      <c r="D29" s="54">
        <f>IF(B29&lt;=25,$D$2,0)</f>
        <v>0</v>
      </c>
      <c r="E29" s="54">
        <f t="shared" si="0"/>
        <v>259396.93624628999</v>
      </c>
      <c r="F29" s="54">
        <f t="shared" si="1"/>
        <v>271069.79837737302</v>
      </c>
      <c r="G29" s="54">
        <f t="shared" si="2"/>
        <v>311730.26813397894</v>
      </c>
      <c r="H29" s="55">
        <f t="shared" si="3"/>
        <v>311730.26813397894</v>
      </c>
      <c r="I29" s="55">
        <f>SUM($D$4:D29)</f>
        <v>100000</v>
      </c>
    </row>
    <row r="30" spans="1:9" x14ac:dyDescent="0.25">
      <c r="A30" s="53">
        <v>59</v>
      </c>
      <c r="B30" s="53">
        <v>27</v>
      </c>
      <c r="C30" s="54">
        <f t="shared" si="4"/>
        <v>271069.79837737302</v>
      </c>
      <c r="D30" s="54">
        <f t="shared" si="5"/>
        <v>0</v>
      </c>
      <c r="E30" s="54">
        <f t="shared" si="0"/>
        <v>276491.19434492051</v>
      </c>
      <c r="F30" s="54">
        <f t="shared" si="1"/>
        <v>288933.29809044191</v>
      </c>
      <c r="G30" s="54">
        <f t="shared" si="2"/>
        <v>332273.29280400818</v>
      </c>
      <c r="H30" s="55">
        <f t="shared" si="3"/>
        <v>332273.29280400818</v>
      </c>
      <c r="I30" s="55">
        <f>SUM($D$4:D30)</f>
        <v>100000</v>
      </c>
    </row>
    <row r="31" spans="1:9" x14ac:dyDescent="0.25">
      <c r="A31" s="53">
        <v>60</v>
      </c>
      <c r="B31" s="53">
        <v>28</v>
      </c>
      <c r="C31" s="54">
        <f t="shared" si="4"/>
        <v>288933.29809044191</v>
      </c>
      <c r="D31" s="54">
        <f t="shared" si="5"/>
        <v>0</v>
      </c>
      <c r="E31" s="54">
        <f t="shared" si="0"/>
        <v>294711.96405225073</v>
      </c>
      <c r="F31" s="54">
        <f t="shared" si="1"/>
        <v>307974.00243460201</v>
      </c>
      <c r="G31" s="54">
        <f t="shared" si="2"/>
        <v>354170.10279979231</v>
      </c>
      <c r="H31" s="55">
        <f t="shared" si="3"/>
        <v>354170.10279979231</v>
      </c>
      <c r="I31" s="55">
        <f>SUM($D$4:D31)</f>
        <v>100000</v>
      </c>
    </row>
    <row r="32" spans="1:9" x14ac:dyDescent="0.25">
      <c r="A32" s="53">
        <v>61</v>
      </c>
      <c r="B32" s="53">
        <v>29</v>
      </c>
      <c r="C32" s="54">
        <f t="shared" si="4"/>
        <v>307974.00243460201</v>
      </c>
      <c r="D32" s="54">
        <f t="shared" si="5"/>
        <v>0</v>
      </c>
      <c r="E32" s="54">
        <f t="shared" si="0"/>
        <v>314133.48248329404</v>
      </c>
      <c r="F32" s="54">
        <f t="shared" si="1"/>
        <v>328269.48919504223</v>
      </c>
      <c r="G32" s="54">
        <f t="shared" si="2"/>
        <v>377509.91257429856</v>
      </c>
      <c r="H32" s="55">
        <f t="shared" si="3"/>
        <v>377509.91257429856</v>
      </c>
      <c r="I32" s="55">
        <f>SUM($D$4:D32)</f>
        <v>100000</v>
      </c>
    </row>
    <row r="33" spans="1:11" x14ac:dyDescent="0.25">
      <c r="A33" s="53">
        <v>62</v>
      </c>
      <c r="B33" s="53">
        <v>30</v>
      </c>
      <c r="C33" s="54">
        <f t="shared" si="4"/>
        <v>328269.48919504223</v>
      </c>
      <c r="D33" s="54">
        <f t="shared" si="5"/>
        <v>0</v>
      </c>
      <c r="E33" s="54">
        <f t="shared" si="0"/>
        <v>334834.8789789431</v>
      </c>
      <c r="F33" s="54">
        <f t="shared" si="1"/>
        <v>349902.44853299554</v>
      </c>
      <c r="G33" s="54">
        <f t="shared" si="2"/>
        <v>402387.81581294484</v>
      </c>
      <c r="H33" s="55">
        <f t="shared" si="3"/>
        <v>402387.81581294484</v>
      </c>
      <c r="I33" s="55">
        <f>SUM($D$4:D33)</f>
        <v>100000</v>
      </c>
      <c r="J33" s="55">
        <f>G33</f>
        <v>402387.81581294484</v>
      </c>
      <c r="K33" s="55"/>
    </row>
  </sheetData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4"/>
  <sheetViews>
    <sheetView topLeftCell="E1" workbookViewId="0">
      <selection activeCell="E1" sqref="E1"/>
    </sheetView>
  </sheetViews>
  <sheetFormatPr defaultRowHeight="15" x14ac:dyDescent="0.25"/>
  <cols>
    <col min="1" max="2" width="9.140625" style="45"/>
    <col min="3" max="3" width="13.42578125" style="45" customWidth="1"/>
    <col min="4" max="4" width="13.5703125" style="45" customWidth="1"/>
    <col min="5" max="5" width="13.28515625" style="45" bestFit="1" customWidth="1"/>
    <col min="6" max="6" width="11.5703125" style="45" bestFit="1" customWidth="1"/>
    <col min="7" max="8" width="11.140625" style="45" customWidth="1"/>
    <col min="9" max="9" width="10.7109375" style="45" customWidth="1"/>
    <col min="10" max="10" width="13.5703125" style="45" customWidth="1"/>
    <col min="11" max="11" width="10.5703125" style="45" bestFit="1" customWidth="1"/>
    <col min="12" max="12" width="13.28515625" style="45" bestFit="1" customWidth="1"/>
    <col min="13" max="13" width="10.42578125" style="45" customWidth="1"/>
    <col min="14" max="14" width="11.5703125" style="45" bestFit="1" customWidth="1"/>
    <col min="15" max="15" width="13.28515625" style="45" bestFit="1" customWidth="1"/>
    <col min="16" max="16384" width="9.140625" style="45"/>
  </cols>
  <sheetData>
    <row r="1" spans="1:19" s="44" customFormat="1" x14ac:dyDescent="0.25">
      <c r="I1" s="44" t="s">
        <v>40</v>
      </c>
      <c r="J1" s="44" t="s">
        <v>40</v>
      </c>
      <c r="K1" s="44" t="s">
        <v>50</v>
      </c>
      <c r="L1" s="44" t="s">
        <v>50</v>
      </c>
      <c r="M1" s="44" t="s">
        <v>50</v>
      </c>
      <c r="N1" s="44" t="s">
        <v>40</v>
      </c>
      <c r="O1" s="44" t="s">
        <v>50</v>
      </c>
    </row>
    <row r="2" spans="1:19" s="44" customFormat="1" x14ac:dyDescent="0.25">
      <c r="I2" s="58">
        <v>90</v>
      </c>
      <c r="J2" s="59">
        <v>0.4</v>
      </c>
      <c r="K2" s="60">
        <v>4.7500000000000001E-2</v>
      </c>
    </row>
    <row r="3" spans="1:19" x14ac:dyDescent="0.25">
      <c r="B3" s="46"/>
      <c r="C3" s="46"/>
      <c r="D3" s="46"/>
      <c r="E3" s="46"/>
      <c r="F3" s="46"/>
      <c r="G3" s="46"/>
      <c r="H3" s="46"/>
      <c r="I3" s="58">
        <v>20</v>
      </c>
      <c r="J3" s="60">
        <v>1.2500000000000001E-2</v>
      </c>
      <c r="K3" s="53"/>
    </row>
    <row r="4" spans="1:19" s="65" customFormat="1" ht="45" x14ac:dyDescent="0.25">
      <c r="A4" s="61" t="s">
        <v>2</v>
      </c>
      <c r="B4" s="61" t="s">
        <v>1</v>
      </c>
      <c r="C4" s="62" t="s">
        <v>3</v>
      </c>
      <c r="D4" s="62" t="s">
        <v>4</v>
      </c>
      <c r="E4" s="62" t="s">
        <v>47</v>
      </c>
      <c r="F4" s="62" t="s">
        <v>48</v>
      </c>
      <c r="G4" s="63"/>
      <c r="H4" s="64" t="s">
        <v>51</v>
      </c>
      <c r="I4" s="65" t="s">
        <v>52</v>
      </c>
      <c r="J4" s="65" t="s">
        <v>53</v>
      </c>
      <c r="K4" s="65" t="s">
        <v>54</v>
      </c>
      <c r="L4" s="65" t="s">
        <v>55</v>
      </c>
      <c r="M4" s="65" t="s">
        <v>56</v>
      </c>
      <c r="N4" s="65" t="s">
        <v>57</v>
      </c>
      <c r="O4" s="65" t="s">
        <v>58</v>
      </c>
    </row>
    <row r="5" spans="1:19" x14ac:dyDescent="0.25">
      <c r="A5" s="66">
        <v>33</v>
      </c>
      <c r="B5" s="66">
        <v>1</v>
      </c>
      <c r="C5" s="67">
        <f>'Q1 Base'!D6</f>
        <v>8.0940000000000005E-4</v>
      </c>
      <c r="D5" s="67">
        <f>'Q1 Base'!E6</f>
        <v>0.2</v>
      </c>
      <c r="E5" s="68">
        <f>'Q1 (i)'!H4</f>
        <v>100000</v>
      </c>
      <c r="F5" s="68">
        <f>'Q1 (i)'!I4</f>
        <v>4000</v>
      </c>
      <c r="G5" s="69"/>
      <c r="H5" s="70">
        <f>'Q1 (i)'!D4</f>
        <v>4000</v>
      </c>
      <c r="I5" s="71">
        <f>I2</f>
        <v>90</v>
      </c>
      <c r="J5" s="54">
        <f>J2*H5</f>
        <v>1600</v>
      </c>
      <c r="K5" s="54">
        <f t="shared" ref="K5:K34" si="0">(H5-I5-J5)*$K$2</f>
        <v>109.72499999999999</v>
      </c>
      <c r="L5" s="55">
        <f t="shared" ref="L5:L34" si="1">E5*C5</f>
        <v>80.940000000000012</v>
      </c>
      <c r="M5" s="55">
        <f t="shared" ref="M5:M34" si="2">F5*D5*(1-C5)</f>
        <v>799.35248000000001</v>
      </c>
      <c r="N5" s="55"/>
      <c r="O5" s="55">
        <f t="shared" ref="O5:O34" si="3">H5-I5-J5+K5-L5-M5-N5</f>
        <v>1539.4325199999998</v>
      </c>
      <c r="R5" s="56" t="s">
        <v>52</v>
      </c>
      <c r="S5" s="44">
        <v>1</v>
      </c>
    </row>
    <row r="6" spans="1:19" x14ac:dyDescent="0.25">
      <c r="A6" s="66">
        <v>34</v>
      </c>
      <c r="B6" s="66">
        <v>2</v>
      </c>
      <c r="C6" s="67">
        <f>'Q1 Base'!D7</f>
        <v>8.6890000000000003E-4</v>
      </c>
      <c r="D6" s="67">
        <f>'Q1 Base'!E7</f>
        <v>0.1</v>
      </c>
      <c r="E6" s="68">
        <f>'Q1 (i)'!H5</f>
        <v>100000</v>
      </c>
      <c r="F6" s="68">
        <f>'Q1 (i)'!I5</f>
        <v>8000</v>
      </c>
      <c r="G6" s="69"/>
      <c r="H6" s="70">
        <f>'Q1 (i)'!D5</f>
        <v>4000</v>
      </c>
      <c r="I6" s="71">
        <f t="shared" ref="I6:I34" si="4">$I$3</f>
        <v>20</v>
      </c>
      <c r="J6" s="54">
        <f t="shared" ref="J6:J34" si="5">$J$3*H6</f>
        <v>50</v>
      </c>
      <c r="K6" s="54">
        <f t="shared" si="0"/>
        <v>186.67500000000001</v>
      </c>
      <c r="L6" s="55">
        <f t="shared" si="1"/>
        <v>86.89</v>
      </c>
      <c r="M6" s="55">
        <f t="shared" si="2"/>
        <v>799.30488000000003</v>
      </c>
      <c r="N6" s="55"/>
      <c r="O6" s="55">
        <f t="shared" si="3"/>
        <v>3230.4801200000002</v>
      </c>
      <c r="R6" s="56" t="s">
        <v>53</v>
      </c>
      <c r="S6" s="44">
        <v>1</v>
      </c>
    </row>
    <row r="7" spans="1:19" x14ac:dyDescent="0.25">
      <c r="A7" s="66">
        <v>35</v>
      </c>
      <c r="B7" s="66">
        <v>3</v>
      </c>
      <c r="C7" s="67">
        <f>'Q1 Base'!D8</f>
        <v>9.366E-4</v>
      </c>
      <c r="D7" s="67">
        <f>'Q1 Base'!E8</f>
        <v>0.1</v>
      </c>
      <c r="E7" s="68">
        <f>'Q1 (i)'!H6</f>
        <v>100000</v>
      </c>
      <c r="F7" s="68">
        <f>'Q1 (i)'!I6</f>
        <v>12000</v>
      </c>
      <c r="G7" s="69"/>
      <c r="H7" s="70">
        <f>'Q1 (i)'!D6</f>
        <v>4000</v>
      </c>
      <c r="I7" s="71">
        <f t="shared" si="4"/>
        <v>20</v>
      </c>
      <c r="J7" s="54">
        <f t="shared" si="5"/>
        <v>50</v>
      </c>
      <c r="K7" s="54">
        <f t="shared" si="0"/>
        <v>186.67500000000001</v>
      </c>
      <c r="L7" s="55">
        <f t="shared" si="1"/>
        <v>93.66</v>
      </c>
      <c r="M7" s="55">
        <f t="shared" si="2"/>
        <v>1198.87608</v>
      </c>
      <c r="N7" s="55"/>
      <c r="O7" s="55">
        <f t="shared" si="3"/>
        <v>2824.1389200000003</v>
      </c>
      <c r="R7" s="56" t="s">
        <v>54</v>
      </c>
      <c r="S7" s="44">
        <v>2</v>
      </c>
    </row>
    <row r="8" spans="1:19" x14ac:dyDescent="0.25">
      <c r="A8" s="66">
        <v>36</v>
      </c>
      <c r="B8" s="66">
        <v>4</v>
      </c>
      <c r="C8" s="67">
        <f>'Q1 Base'!D9</f>
        <v>1.0141E-3</v>
      </c>
      <c r="D8" s="67">
        <f>'Q1 Base'!E9</f>
        <v>0.1</v>
      </c>
      <c r="E8" s="68">
        <f>'Q1 (i)'!H7</f>
        <v>100000</v>
      </c>
      <c r="F8" s="68">
        <f>'Q1 (i)'!I7</f>
        <v>16000</v>
      </c>
      <c r="G8" s="69"/>
      <c r="H8" s="70">
        <f>'Q1 (i)'!D7</f>
        <v>4000</v>
      </c>
      <c r="I8" s="71">
        <f t="shared" si="4"/>
        <v>20</v>
      </c>
      <c r="J8" s="54">
        <f t="shared" si="5"/>
        <v>50</v>
      </c>
      <c r="K8" s="54">
        <f t="shared" si="0"/>
        <v>186.67500000000001</v>
      </c>
      <c r="L8" s="55">
        <f t="shared" si="1"/>
        <v>101.41</v>
      </c>
      <c r="M8" s="55">
        <f t="shared" si="2"/>
        <v>1598.37744</v>
      </c>
      <c r="N8" s="55"/>
      <c r="O8" s="55">
        <f t="shared" si="3"/>
        <v>2416.8875600000001</v>
      </c>
      <c r="R8" s="56" t="s">
        <v>55</v>
      </c>
      <c r="S8" s="44">
        <v>2</v>
      </c>
    </row>
    <row r="9" spans="1:19" x14ac:dyDescent="0.25">
      <c r="A9" s="66">
        <v>37</v>
      </c>
      <c r="B9" s="66">
        <v>5</v>
      </c>
      <c r="C9" s="67">
        <f>'Q1 Base'!D10</f>
        <v>1.1039999999999999E-3</v>
      </c>
      <c r="D9" s="67">
        <f>'Q1 Base'!E10</f>
        <v>0.1</v>
      </c>
      <c r="E9" s="68">
        <f>'Q1 (i)'!H8</f>
        <v>100000</v>
      </c>
      <c r="F9" s="68">
        <f>'Q1 (i)'!I8</f>
        <v>20000</v>
      </c>
      <c r="G9" s="69"/>
      <c r="H9" s="70">
        <f>'Q1 (i)'!D8</f>
        <v>4000</v>
      </c>
      <c r="I9" s="71">
        <f t="shared" si="4"/>
        <v>20</v>
      </c>
      <c r="J9" s="54">
        <f t="shared" si="5"/>
        <v>50</v>
      </c>
      <c r="K9" s="54">
        <f t="shared" si="0"/>
        <v>186.67500000000001</v>
      </c>
      <c r="L9" s="55">
        <f t="shared" si="1"/>
        <v>110.39999999999999</v>
      </c>
      <c r="M9" s="55">
        <f t="shared" si="2"/>
        <v>1997.7919999999999</v>
      </c>
      <c r="N9" s="55"/>
      <c r="O9" s="55">
        <f t="shared" si="3"/>
        <v>2008.4830000000002</v>
      </c>
      <c r="R9" s="56" t="s">
        <v>56</v>
      </c>
      <c r="S9" s="44">
        <v>2</v>
      </c>
    </row>
    <row r="10" spans="1:19" x14ac:dyDescent="0.25">
      <c r="A10" s="66">
        <v>38</v>
      </c>
      <c r="B10" s="66">
        <v>6</v>
      </c>
      <c r="C10" s="67">
        <f>'Q1 Base'!D11</f>
        <v>1.2045999999999999E-3</v>
      </c>
      <c r="D10" s="67">
        <f>'Q1 Base'!E11</f>
        <v>7.4999999999999997E-2</v>
      </c>
      <c r="E10" s="68">
        <f>'Q1 (i)'!H9</f>
        <v>100000</v>
      </c>
      <c r="F10" s="68">
        <f>'Q1 (i)'!I9</f>
        <v>24000</v>
      </c>
      <c r="G10" s="69"/>
      <c r="H10" s="70">
        <f>'Q1 (i)'!D9</f>
        <v>4000</v>
      </c>
      <c r="I10" s="71">
        <f t="shared" si="4"/>
        <v>20</v>
      </c>
      <c r="J10" s="54">
        <f t="shared" si="5"/>
        <v>50</v>
      </c>
      <c r="K10" s="54">
        <f t="shared" si="0"/>
        <v>186.67500000000001</v>
      </c>
      <c r="L10" s="55">
        <f t="shared" si="1"/>
        <v>120.46</v>
      </c>
      <c r="M10" s="55">
        <f t="shared" si="2"/>
        <v>1797.8317199999999</v>
      </c>
      <c r="N10" s="55"/>
      <c r="O10" s="55">
        <f t="shared" si="3"/>
        <v>2198.38328</v>
      </c>
      <c r="R10" s="56" t="s">
        <v>57</v>
      </c>
      <c r="S10" s="44">
        <v>1</v>
      </c>
    </row>
    <row r="11" spans="1:19" x14ac:dyDescent="0.25">
      <c r="A11" s="66">
        <v>39</v>
      </c>
      <c r="B11" s="66">
        <v>7</v>
      </c>
      <c r="C11" s="67">
        <f>'Q1 Base'!D12</f>
        <v>1.3154E-3</v>
      </c>
      <c r="D11" s="67">
        <f>'Q1 Base'!E12</f>
        <v>7.4999999999999997E-2</v>
      </c>
      <c r="E11" s="68">
        <f>'Q1 (i)'!H10</f>
        <v>100000</v>
      </c>
      <c r="F11" s="68">
        <f>'Q1 (i)'!I10</f>
        <v>28000</v>
      </c>
      <c r="G11" s="69"/>
      <c r="H11" s="70">
        <f>'Q1 (i)'!D10</f>
        <v>4000</v>
      </c>
      <c r="I11" s="71">
        <f t="shared" si="4"/>
        <v>20</v>
      </c>
      <c r="J11" s="54">
        <f t="shared" si="5"/>
        <v>50</v>
      </c>
      <c r="K11" s="54">
        <f t="shared" si="0"/>
        <v>186.67500000000001</v>
      </c>
      <c r="L11" s="55">
        <f t="shared" si="1"/>
        <v>131.54</v>
      </c>
      <c r="M11" s="55">
        <f t="shared" si="2"/>
        <v>2097.2376600000002</v>
      </c>
      <c r="N11" s="55"/>
      <c r="O11" s="55">
        <f t="shared" si="3"/>
        <v>1887.89734</v>
      </c>
      <c r="R11" s="56" t="s">
        <v>58</v>
      </c>
      <c r="S11" s="44">
        <v>2</v>
      </c>
    </row>
    <row r="12" spans="1:19" x14ac:dyDescent="0.25">
      <c r="A12" s="66">
        <v>40</v>
      </c>
      <c r="B12" s="66">
        <v>8</v>
      </c>
      <c r="C12" s="67">
        <f>'Q1 Base'!D13</f>
        <v>1.4407000000000001E-3</v>
      </c>
      <c r="D12" s="67">
        <f>'Q1 Base'!E13</f>
        <v>7.4999999999999997E-2</v>
      </c>
      <c r="E12" s="68">
        <f>'Q1 (i)'!H11</f>
        <v>100000</v>
      </c>
      <c r="F12" s="68">
        <f>'Q1 (i)'!I11</f>
        <v>32000</v>
      </c>
      <c r="G12" s="69"/>
      <c r="H12" s="70">
        <f>'Q1 (i)'!D11</f>
        <v>4000</v>
      </c>
      <c r="I12" s="71">
        <f t="shared" si="4"/>
        <v>20</v>
      </c>
      <c r="J12" s="54">
        <f t="shared" si="5"/>
        <v>50</v>
      </c>
      <c r="K12" s="54">
        <f t="shared" si="0"/>
        <v>186.67500000000001</v>
      </c>
      <c r="L12" s="55">
        <f t="shared" si="1"/>
        <v>144.07</v>
      </c>
      <c r="M12" s="55">
        <f t="shared" si="2"/>
        <v>2396.54232</v>
      </c>
      <c r="N12" s="55"/>
      <c r="O12" s="55">
        <f t="shared" si="3"/>
        <v>1576.06268</v>
      </c>
      <c r="S12" s="57">
        <f>SUM(S5:S11)</f>
        <v>11</v>
      </c>
    </row>
    <row r="13" spans="1:19" x14ac:dyDescent="0.25">
      <c r="A13" s="66">
        <v>41</v>
      </c>
      <c r="B13" s="66">
        <v>9</v>
      </c>
      <c r="C13" s="67">
        <f>'Q1 Base'!D14</f>
        <v>1.5759000000000001E-3</v>
      </c>
      <c r="D13" s="67">
        <f>'Q1 Base'!E14</f>
        <v>7.4999999999999997E-2</v>
      </c>
      <c r="E13" s="68">
        <f>'Q1 (i)'!H12</f>
        <v>100000</v>
      </c>
      <c r="F13" s="68">
        <f>'Q1 (i)'!I12</f>
        <v>36000</v>
      </c>
      <c r="G13" s="69"/>
      <c r="H13" s="70">
        <f>'Q1 (i)'!D12</f>
        <v>4000</v>
      </c>
      <c r="I13" s="71">
        <f t="shared" si="4"/>
        <v>20</v>
      </c>
      <c r="J13" s="54">
        <f t="shared" si="5"/>
        <v>50</v>
      </c>
      <c r="K13" s="54">
        <f t="shared" si="0"/>
        <v>186.67500000000001</v>
      </c>
      <c r="L13" s="55">
        <f t="shared" si="1"/>
        <v>157.59</v>
      </c>
      <c r="M13" s="55">
        <f t="shared" si="2"/>
        <v>2695.7450699999999</v>
      </c>
      <c r="N13" s="55"/>
      <c r="O13" s="55">
        <f t="shared" si="3"/>
        <v>1263.3399300000001</v>
      </c>
    </row>
    <row r="14" spans="1:19" x14ac:dyDescent="0.25">
      <c r="A14" s="66">
        <v>42</v>
      </c>
      <c r="B14" s="66">
        <v>10</v>
      </c>
      <c r="C14" s="67">
        <f>'Q1 Base'!D15</f>
        <v>1.7167E-3</v>
      </c>
      <c r="D14" s="67">
        <f>'Q1 Base'!E15</f>
        <v>7.4999999999999997E-2</v>
      </c>
      <c r="E14" s="68">
        <f>'Q1 (i)'!H13</f>
        <v>100000</v>
      </c>
      <c r="F14" s="68">
        <f>'Q1 (i)'!I13</f>
        <v>40000</v>
      </c>
      <c r="G14" s="69"/>
      <c r="H14" s="70">
        <f>'Q1 (i)'!D13</f>
        <v>4000</v>
      </c>
      <c r="I14" s="71">
        <f t="shared" si="4"/>
        <v>20</v>
      </c>
      <c r="J14" s="54">
        <f t="shared" si="5"/>
        <v>50</v>
      </c>
      <c r="K14" s="54">
        <f t="shared" si="0"/>
        <v>186.67500000000001</v>
      </c>
      <c r="L14" s="55">
        <f t="shared" si="1"/>
        <v>171.67000000000002</v>
      </c>
      <c r="M14" s="55">
        <f t="shared" si="2"/>
        <v>2994.8499000000002</v>
      </c>
      <c r="N14" s="55"/>
      <c r="O14" s="55">
        <f t="shared" si="3"/>
        <v>950.15509999999995</v>
      </c>
    </row>
    <row r="15" spans="1:19" x14ac:dyDescent="0.25">
      <c r="A15" s="66">
        <v>43</v>
      </c>
      <c r="B15" s="66">
        <v>11</v>
      </c>
      <c r="C15" s="67">
        <f>'Q1 Base'!D16</f>
        <v>1.8663E-3</v>
      </c>
      <c r="D15" s="67">
        <f>'Q1 Base'!E16</f>
        <v>0.05</v>
      </c>
      <c r="E15" s="68">
        <f>'Q1 (i)'!H14</f>
        <v>100000</v>
      </c>
      <c r="F15" s="68">
        <f>'Q1 (i)'!I14</f>
        <v>44000</v>
      </c>
      <c r="G15" s="69"/>
      <c r="H15" s="70">
        <f>'Q1 (i)'!D14</f>
        <v>4000</v>
      </c>
      <c r="I15" s="71">
        <f t="shared" si="4"/>
        <v>20</v>
      </c>
      <c r="J15" s="54">
        <f t="shared" si="5"/>
        <v>50</v>
      </c>
      <c r="K15" s="54">
        <f t="shared" si="0"/>
        <v>186.67500000000001</v>
      </c>
      <c r="L15" s="55">
        <f t="shared" si="1"/>
        <v>186.63</v>
      </c>
      <c r="M15" s="55">
        <f t="shared" si="2"/>
        <v>2195.8941399999999</v>
      </c>
      <c r="N15" s="55"/>
      <c r="O15" s="55">
        <f t="shared" si="3"/>
        <v>1734.1508600000002</v>
      </c>
    </row>
    <row r="16" spans="1:19" x14ac:dyDescent="0.25">
      <c r="A16" s="66">
        <v>44</v>
      </c>
      <c r="B16" s="66">
        <v>12</v>
      </c>
      <c r="C16" s="67">
        <f>'Q1 Base'!D17</f>
        <v>2.0235000000000001E-3</v>
      </c>
      <c r="D16" s="67">
        <f>'Q1 Base'!E17</f>
        <v>0.05</v>
      </c>
      <c r="E16" s="68">
        <f>'Q1 (i)'!H15</f>
        <v>100000</v>
      </c>
      <c r="F16" s="68">
        <f>'Q1 (i)'!I15</f>
        <v>48000</v>
      </c>
      <c r="G16" s="69"/>
      <c r="H16" s="70">
        <f>'Q1 (i)'!D15</f>
        <v>4000</v>
      </c>
      <c r="I16" s="71">
        <f t="shared" si="4"/>
        <v>20</v>
      </c>
      <c r="J16" s="54">
        <f t="shared" si="5"/>
        <v>50</v>
      </c>
      <c r="K16" s="54">
        <f t="shared" si="0"/>
        <v>186.67500000000001</v>
      </c>
      <c r="L16" s="55">
        <f t="shared" si="1"/>
        <v>202.35000000000002</v>
      </c>
      <c r="M16" s="55">
        <f t="shared" si="2"/>
        <v>2395.1436000000003</v>
      </c>
      <c r="N16" s="55"/>
      <c r="O16" s="55">
        <f t="shared" si="3"/>
        <v>1519.1813999999999</v>
      </c>
    </row>
    <row r="17" spans="1:15" x14ac:dyDescent="0.25">
      <c r="A17" s="66">
        <v>45</v>
      </c>
      <c r="B17" s="66">
        <v>13</v>
      </c>
      <c r="C17" s="67">
        <f>'Q1 Base'!D18</f>
        <v>2.1841999999999999E-3</v>
      </c>
      <c r="D17" s="67">
        <f>'Q1 Base'!E18</f>
        <v>0.05</v>
      </c>
      <c r="E17" s="68">
        <f>'Q1 (i)'!H16</f>
        <v>100000</v>
      </c>
      <c r="F17" s="68">
        <f>'Q1 (i)'!I16</f>
        <v>52000</v>
      </c>
      <c r="G17" s="69"/>
      <c r="H17" s="70">
        <f>'Q1 (i)'!D16</f>
        <v>4000</v>
      </c>
      <c r="I17" s="71">
        <f t="shared" si="4"/>
        <v>20</v>
      </c>
      <c r="J17" s="54">
        <f t="shared" si="5"/>
        <v>50</v>
      </c>
      <c r="K17" s="54">
        <f t="shared" si="0"/>
        <v>186.67500000000001</v>
      </c>
      <c r="L17" s="55">
        <f t="shared" si="1"/>
        <v>218.42</v>
      </c>
      <c r="M17" s="55">
        <f t="shared" si="2"/>
        <v>2594.3210800000002</v>
      </c>
      <c r="N17" s="55"/>
      <c r="O17" s="55">
        <f t="shared" si="3"/>
        <v>1303.9339199999999</v>
      </c>
    </row>
    <row r="18" spans="1:15" x14ac:dyDescent="0.25">
      <c r="A18" s="66">
        <v>46</v>
      </c>
      <c r="B18" s="66">
        <v>14</v>
      </c>
      <c r="C18" s="67">
        <f>'Q1 Base'!D19</f>
        <v>2.3508000000000001E-3</v>
      </c>
      <c r="D18" s="67">
        <f>'Q1 Base'!E19</f>
        <v>0.05</v>
      </c>
      <c r="E18" s="68">
        <f>'Q1 (i)'!H17</f>
        <v>107407.93145684959</v>
      </c>
      <c r="F18" s="68">
        <f>'Q1 (i)'!I17</f>
        <v>56000</v>
      </c>
      <c r="G18" s="69"/>
      <c r="H18" s="70">
        <f>'Q1 (i)'!D17</f>
        <v>4000</v>
      </c>
      <c r="I18" s="71">
        <f t="shared" si="4"/>
        <v>20</v>
      </c>
      <c r="J18" s="54">
        <f t="shared" si="5"/>
        <v>50</v>
      </c>
      <c r="K18" s="54">
        <f t="shared" si="0"/>
        <v>186.67500000000001</v>
      </c>
      <c r="L18" s="55">
        <f t="shared" si="1"/>
        <v>252.49456526876202</v>
      </c>
      <c r="M18" s="55">
        <f t="shared" si="2"/>
        <v>2793.4177599999998</v>
      </c>
      <c r="N18" s="55"/>
      <c r="O18" s="55">
        <f t="shared" si="3"/>
        <v>1070.7626747312383</v>
      </c>
    </row>
    <row r="19" spans="1:15" x14ac:dyDescent="0.25">
      <c r="A19" s="66">
        <v>47</v>
      </c>
      <c r="B19" s="66">
        <v>15</v>
      </c>
      <c r="C19" s="67">
        <f>'Q1 Base'!D20</f>
        <v>2.5247999999999998E-3</v>
      </c>
      <c r="D19" s="67">
        <f>'Q1 Base'!E20</f>
        <v>0.05</v>
      </c>
      <c r="E19" s="68">
        <f>'Q1 (i)'!H18</f>
        <v>119389.25413985597</v>
      </c>
      <c r="F19" s="68">
        <f>'Q1 (i)'!I18</f>
        <v>60000</v>
      </c>
      <c r="G19" s="69"/>
      <c r="H19" s="70">
        <f>'Q1 (i)'!D18</f>
        <v>4000</v>
      </c>
      <c r="I19" s="71">
        <f t="shared" si="4"/>
        <v>20</v>
      </c>
      <c r="J19" s="54">
        <f t="shared" si="5"/>
        <v>50</v>
      </c>
      <c r="K19" s="54">
        <f t="shared" si="0"/>
        <v>186.67500000000001</v>
      </c>
      <c r="L19" s="55">
        <f t="shared" si="1"/>
        <v>301.43398885230835</v>
      </c>
      <c r="M19" s="55">
        <f t="shared" si="2"/>
        <v>2992.4256</v>
      </c>
      <c r="N19" s="55"/>
      <c r="O19" s="55">
        <f t="shared" si="3"/>
        <v>822.81541114769198</v>
      </c>
    </row>
    <row r="20" spans="1:15" x14ac:dyDescent="0.25">
      <c r="A20" s="66">
        <v>48</v>
      </c>
      <c r="B20" s="66">
        <v>16</v>
      </c>
      <c r="C20" s="67">
        <f>'Q1 Base'!D21</f>
        <v>2.7063E-3</v>
      </c>
      <c r="D20" s="67">
        <f>'Q1 Base'!E21</f>
        <v>2.5000000000000001E-2</v>
      </c>
      <c r="E20" s="68">
        <f>'Q1 (i)'!H19</f>
        <v>132160.14598767247</v>
      </c>
      <c r="F20" s="68">
        <f>'Q1 (i)'!I19</f>
        <v>64000</v>
      </c>
      <c r="G20" s="69"/>
      <c r="H20" s="70">
        <f>'Q1 (i)'!D19</f>
        <v>4000</v>
      </c>
      <c r="I20" s="71">
        <f t="shared" si="4"/>
        <v>20</v>
      </c>
      <c r="J20" s="54">
        <f t="shared" si="5"/>
        <v>50</v>
      </c>
      <c r="K20" s="54">
        <f t="shared" si="0"/>
        <v>186.67500000000001</v>
      </c>
      <c r="L20" s="55">
        <f t="shared" si="1"/>
        <v>357.66500308643799</v>
      </c>
      <c r="M20" s="55">
        <f t="shared" si="2"/>
        <v>1595.6699199999998</v>
      </c>
      <c r="N20" s="55"/>
      <c r="O20" s="55">
        <f t="shared" si="3"/>
        <v>2163.3400769135624</v>
      </c>
    </row>
    <row r="21" spans="1:15" x14ac:dyDescent="0.25">
      <c r="A21" s="66">
        <v>49</v>
      </c>
      <c r="B21" s="66">
        <v>17</v>
      </c>
      <c r="C21" s="67">
        <f>'Q1 Base'!D22</f>
        <v>2.8974000000000001E-3</v>
      </c>
      <c r="D21" s="67">
        <f>'Q1 Base'!E22</f>
        <v>2.5000000000000001E-2</v>
      </c>
      <c r="E21" s="68">
        <f>'Q1 (i)'!H20</f>
        <v>145772.6396082601</v>
      </c>
      <c r="F21" s="68">
        <f>'Q1 (i)'!I20</f>
        <v>68000</v>
      </c>
      <c r="G21" s="69"/>
      <c r="H21" s="70">
        <f>'Q1 (i)'!D20</f>
        <v>4000</v>
      </c>
      <c r="I21" s="71">
        <f t="shared" si="4"/>
        <v>20</v>
      </c>
      <c r="J21" s="54">
        <f t="shared" si="5"/>
        <v>50</v>
      </c>
      <c r="K21" s="54">
        <f t="shared" si="0"/>
        <v>186.67500000000001</v>
      </c>
      <c r="L21" s="55">
        <f t="shared" si="1"/>
        <v>422.36164600097283</v>
      </c>
      <c r="M21" s="55">
        <f t="shared" si="2"/>
        <v>1695.0744199999999</v>
      </c>
      <c r="N21" s="55"/>
      <c r="O21" s="55">
        <f t="shared" si="3"/>
        <v>1999.2389339990273</v>
      </c>
    </row>
    <row r="22" spans="1:15" x14ac:dyDescent="0.25">
      <c r="A22" s="66">
        <v>50</v>
      </c>
      <c r="B22" s="66">
        <v>18</v>
      </c>
      <c r="C22" s="67">
        <f>'Q1 Base'!D23</f>
        <v>3.1005999999999998E-3</v>
      </c>
      <c r="D22" s="67">
        <f>'Q1 Base'!E23</f>
        <v>2.5000000000000001E-2</v>
      </c>
      <c r="E22" s="68">
        <f>'Q1 (i)'!H21</f>
        <v>160282.19655844444</v>
      </c>
      <c r="F22" s="68">
        <f>'Q1 (i)'!I21</f>
        <v>72000</v>
      </c>
      <c r="G22" s="69"/>
      <c r="H22" s="70">
        <f>'Q1 (i)'!D21</f>
        <v>4000</v>
      </c>
      <c r="I22" s="71">
        <f t="shared" si="4"/>
        <v>20</v>
      </c>
      <c r="J22" s="54">
        <f t="shared" si="5"/>
        <v>50</v>
      </c>
      <c r="K22" s="54">
        <f t="shared" si="0"/>
        <v>186.67500000000001</v>
      </c>
      <c r="L22" s="55">
        <f t="shared" si="1"/>
        <v>496.97097864911279</v>
      </c>
      <c r="M22" s="55">
        <f t="shared" si="2"/>
        <v>1794.4189200000001</v>
      </c>
      <c r="N22" s="55"/>
      <c r="O22" s="55">
        <f t="shared" si="3"/>
        <v>1825.2851013508871</v>
      </c>
    </row>
    <row r="23" spans="1:15" x14ac:dyDescent="0.25">
      <c r="A23" s="66">
        <v>51</v>
      </c>
      <c r="B23" s="66">
        <v>19</v>
      </c>
      <c r="C23" s="67">
        <f>'Q1 Base'!D24</f>
        <v>3.3200999999999999E-3</v>
      </c>
      <c r="D23" s="67">
        <f>'Q1 Base'!E24</f>
        <v>2.5000000000000001E-2</v>
      </c>
      <c r="E23" s="68">
        <f>'Q1 (i)'!H22</f>
        <v>175747.93331164593</v>
      </c>
      <c r="F23" s="68">
        <f>'Q1 (i)'!I22</f>
        <v>76000</v>
      </c>
      <c r="G23" s="69"/>
      <c r="H23" s="70">
        <f>'Q1 (i)'!D22</f>
        <v>4000</v>
      </c>
      <c r="I23" s="71">
        <f t="shared" si="4"/>
        <v>20</v>
      </c>
      <c r="J23" s="54">
        <f t="shared" si="5"/>
        <v>50</v>
      </c>
      <c r="K23" s="54">
        <f t="shared" si="0"/>
        <v>186.67500000000001</v>
      </c>
      <c r="L23" s="55">
        <f t="shared" si="1"/>
        <v>583.50071338799569</v>
      </c>
      <c r="M23" s="55">
        <f t="shared" si="2"/>
        <v>1893.6918099999998</v>
      </c>
      <c r="N23" s="55"/>
      <c r="O23" s="55">
        <f t="shared" si="3"/>
        <v>1639.4824766120046</v>
      </c>
    </row>
    <row r="24" spans="1:15" x14ac:dyDescent="0.25">
      <c r="A24" s="66">
        <v>52</v>
      </c>
      <c r="B24" s="66">
        <v>20</v>
      </c>
      <c r="C24" s="67">
        <f>'Q1 Base'!D25</f>
        <v>3.5609999999999999E-3</v>
      </c>
      <c r="D24" s="67">
        <f>'Q1 Base'!E25</f>
        <v>2.5000000000000001E-2</v>
      </c>
      <c r="E24" s="68">
        <f>'Q1 (i)'!H23</f>
        <v>192232.86211688336</v>
      </c>
      <c r="F24" s="68">
        <f>'Q1 (i)'!I23</f>
        <v>80000</v>
      </c>
      <c r="G24" s="69"/>
      <c r="H24" s="70">
        <f>'Q1 (i)'!D23</f>
        <v>4000</v>
      </c>
      <c r="I24" s="71">
        <f t="shared" si="4"/>
        <v>20</v>
      </c>
      <c r="J24" s="54">
        <f t="shared" si="5"/>
        <v>50</v>
      </c>
      <c r="K24" s="54">
        <f t="shared" si="0"/>
        <v>186.67500000000001</v>
      </c>
      <c r="L24" s="55">
        <f t="shared" si="1"/>
        <v>684.54122199822166</v>
      </c>
      <c r="M24" s="55">
        <f t="shared" si="2"/>
        <v>1992.8779999999999</v>
      </c>
      <c r="N24" s="55"/>
      <c r="O24" s="55">
        <f t="shared" si="3"/>
        <v>1439.2557780017785</v>
      </c>
    </row>
    <row r="25" spans="1:15" x14ac:dyDescent="0.25">
      <c r="A25" s="66">
        <v>53</v>
      </c>
      <c r="B25" s="66">
        <v>21</v>
      </c>
      <c r="C25" s="67">
        <f>'Q1 Base'!D26</f>
        <v>3.8289999999999999E-3</v>
      </c>
      <c r="D25" s="67">
        <f>'Q1 Base'!E26</f>
        <v>0.01</v>
      </c>
      <c r="E25" s="68">
        <f>'Q1 (i)'!H24</f>
        <v>209804.14773038597</v>
      </c>
      <c r="F25" s="68">
        <f>'Q1 (i)'!I24</f>
        <v>84000</v>
      </c>
      <c r="G25" s="69"/>
      <c r="H25" s="70">
        <f>'Q1 (i)'!D24</f>
        <v>4000</v>
      </c>
      <c r="I25" s="71">
        <f t="shared" si="4"/>
        <v>20</v>
      </c>
      <c r="J25" s="54">
        <f t="shared" si="5"/>
        <v>50</v>
      </c>
      <c r="K25" s="54">
        <f t="shared" si="0"/>
        <v>186.67500000000001</v>
      </c>
      <c r="L25" s="55">
        <f t="shared" si="1"/>
        <v>803.34008165964792</v>
      </c>
      <c r="M25" s="55">
        <f t="shared" si="2"/>
        <v>836.78363999999999</v>
      </c>
      <c r="N25" s="55"/>
      <c r="O25" s="55">
        <f t="shared" si="3"/>
        <v>2476.5512783403524</v>
      </c>
    </row>
    <row r="26" spans="1:15" x14ac:dyDescent="0.25">
      <c r="A26" s="66">
        <v>54</v>
      </c>
      <c r="B26" s="66">
        <v>22</v>
      </c>
      <c r="C26" s="67">
        <f>'Q1 Base'!D27</f>
        <v>4.1310000000000001E-3</v>
      </c>
      <c r="D26" s="67">
        <f>'Q1 Base'!E27</f>
        <v>0.01</v>
      </c>
      <c r="E26" s="68">
        <f>'Q1 (i)'!H25</f>
        <v>228533.38106581836</v>
      </c>
      <c r="F26" s="68">
        <f>'Q1 (i)'!I25</f>
        <v>88000</v>
      </c>
      <c r="G26" s="69"/>
      <c r="H26" s="70">
        <f>'Q1 (i)'!D25</f>
        <v>4000</v>
      </c>
      <c r="I26" s="71">
        <f t="shared" si="4"/>
        <v>20</v>
      </c>
      <c r="J26" s="54">
        <f t="shared" si="5"/>
        <v>50</v>
      </c>
      <c r="K26" s="54">
        <f t="shared" si="0"/>
        <v>186.67500000000001</v>
      </c>
      <c r="L26" s="55">
        <f t="shared" si="1"/>
        <v>944.07139718289568</v>
      </c>
      <c r="M26" s="55">
        <f t="shared" si="2"/>
        <v>876.36472000000003</v>
      </c>
      <c r="N26" s="55"/>
      <c r="O26" s="55">
        <f t="shared" si="3"/>
        <v>2296.2388828171047</v>
      </c>
    </row>
    <row r="27" spans="1:15" x14ac:dyDescent="0.25">
      <c r="A27" s="66">
        <v>55</v>
      </c>
      <c r="B27" s="66">
        <v>23</v>
      </c>
      <c r="C27" s="67">
        <f>'Q1 Base'!D28</f>
        <v>4.4651999999999999E-3</v>
      </c>
      <c r="D27" s="67">
        <f>'Q1 Base'!E28</f>
        <v>0.01</v>
      </c>
      <c r="E27" s="68">
        <f>'Q1 (i)'!H26</f>
        <v>248496.87087805578</v>
      </c>
      <c r="F27" s="68">
        <f>'Q1 (i)'!I26</f>
        <v>92000</v>
      </c>
      <c r="G27" s="69"/>
      <c r="H27" s="70">
        <f>'Q1 (i)'!D26</f>
        <v>4000</v>
      </c>
      <c r="I27" s="71">
        <f t="shared" si="4"/>
        <v>20</v>
      </c>
      <c r="J27" s="54">
        <f t="shared" si="5"/>
        <v>50</v>
      </c>
      <c r="K27" s="54">
        <f t="shared" si="0"/>
        <v>186.67500000000001</v>
      </c>
      <c r="L27" s="55">
        <f t="shared" si="1"/>
        <v>1109.5882278446945</v>
      </c>
      <c r="M27" s="55">
        <f t="shared" si="2"/>
        <v>915.89201600000001</v>
      </c>
      <c r="N27" s="55"/>
      <c r="O27" s="55">
        <f t="shared" si="3"/>
        <v>2091.1947561553061</v>
      </c>
    </row>
    <row r="28" spans="1:15" x14ac:dyDescent="0.25">
      <c r="A28" s="66">
        <v>56</v>
      </c>
      <c r="B28" s="66">
        <v>24</v>
      </c>
      <c r="C28" s="67">
        <f>'Q1 Base'!D29</f>
        <v>4.8425999999999999E-3</v>
      </c>
      <c r="D28" s="67">
        <f>'Q1 Base'!E29</f>
        <v>0.01</v>
      </c>
      <c r="E28" s="68">
        <f>'Q1 (i)'!H27</f>
        <v>269775.95466891967</v>
      </c>
      <c r="F28" s="68">
        <f>'Q1 (i)'!I27</f>
        <v>96000</v>
      </c>
      <c r="G28" s="69"/>
      <c r="H28" s="70">
        <f>'Q1 (i)'!D27</f>
        <v>4000</v>
      </c>
      <c r="I28" s="71">
        <f t="shared" si="4"/>
        <v>20</v>
      </c>
      <c r="J28" s="54">
        <f t="shared" si="5"/>
        <v>50</v>
      </c>
      <c r="K28" s="54">
        <f t="shared" si="0"/>
        <v>186.67500000000001</v>
      </c>
      <c r="L28" s="55">
        <f t="shared" si="1"/>
        <v>1306.4170380797104</v>
      </c>
      <c r="M28" s="55">
        <f t="shared" si="2"/>
        <v>955.35110399999996</v>
      </c>
      <c r="N28" s="55"/>
      <c r="O28" s="55">
        <f t="shared" si="3"/>
        <v>1854.9068579202899</v>
      </c>
    </row>
    <row r="29" spans="1:15" x14ac:dyDescent="0.25">
      <c r="A29" s="66">
        <v>57</v>
      </c>
      <c r="B29" s="66">
        <v>25</v>
      </c>
      <c r="C29" s="67">
        <f>'Q1 Base'!D30</f>
        <v>5.2982000000000003E-3</v>
      </c>
      <c r="D29" s="67">
        <f>'Q1 Base'!E30</f>
        <v>0.01</v>
      </c>
      <c r="E29" s="68">
        <f>'Q1 (i)'!H28</f>
        <v>292457.33008160145</v>
      </c>
      <c r="F29" s="68">
        <f>'Q1 (i)'!I28</f>
        <v>100000</v>
      </c>
      <c r="G29" s="69"/>
      <c r="H29" s="70">
        <f>'Q1 (i)'!D28</f>
        <v>4000</v>
      </c>
      <c r="I29" s="71">
        <f t="shared" si="4"/>
        <v>20</v>
      </c>
      <c r="J29" s="54">
        <f t="shared" si="5"/>
        <v>50</v>
      </c>
      <c r="K29" s="54">
        <f t="shared" si="0"/>
        <v>186.67500000000001</v>
      </c>
      <c r="L29" s="55">
        <f t="shared" si="1"/>
        <v>1549.4974262383409</v>
      </c>
      <c r="M29" s="55">
        <f t="shared" si="2"/>
        <v>994.70179999999993</v>
      </c>
      <c r="N29" s="55"/>
      <c r="O29" s="55">
        <f t="shared" si="3"/>
        <v>1572.4757737616592</v>
      </c>
    </row>
    <row r="30" spans="1:15" x14ac:dyDescent="0.25">
      <c r="A30" s="66">
        <v>58</v>
      </c>
      <c r="B30" s="66">
        <v>26</v>
      </c>
      <c r="C30" s="67">
        <f>'Q1 Base'!D31</f>
        <v>5.8402000000000003E-3</v>
      </c>
      <c r="D30" s="67">
        <f>'Q1 Base'!E31</f>
        <v>0</v>
      </c>
      <c r="E30" s="68">
        <f>'Q1 (i)'!H29</f>
        <v>311730.26813397894</v>
      </c>
      <c r="F30" s="68">
        <f>'Q1 (i)'!I29</f>
        <v>100000</v>
      </c>
      <c r="G30" s="69"/>
      <c r="H30" s="70">
        <f>'Q1 (i)'!D29</f>
        <v>0</v>
      </c>
      <c r="I30" s="71">
        <f t="shared" si="4"/>
        <v>20</v>
      </c>
      <c r="J30" s="54">
        <f t="shared" si="5"/>
        <v>0</v>
      </c>
      <c r="K30" s="54">
        <f t="shared" si="0"/>
        <v>-0.95</v>
      </c>
      <c r="L30" s="55">
        <f t="shared" si="1"/>
        <v>1820.5671119560639</v>
      </c>
      <c r="M30" s="55">
        <f t="shared" si="2"/>
        <v>0</v>
      </c>
      <c r="N30" s="55"/>
      <c r="O30" s="55">
        <f t="shared" si="3"/>
        <v>-1841.5171119560639</v>
      </c>
    </row>
    <row r="31" spans="1:15" x14ac:dyDescent="0.25">
      <c r="A31" s="66">
        <v>59</v>
      </c>
      <c r="B31" s="66">
        <v>27</v>
      </c>
      <c r="C31" s="67">
        <f>'Q1 Base'!D32</f>
        <v>6.4444999999999997E-3</v>
      </c>
      <c r="D31" s="67">
        <f>'Q1 Base'!E32</f>
        <v>0</v>
      </c>
      <c r="E31" s="68">
        <f>'Q1 (i)'!H30</f>
        <v>332273.29280400818</v>
      </c>
      <c r="F31" s="68">
        <f>'Q1 (i)'!I30</f>
        <v>100000</v>
      </c>
      <c r="G31" s="69"/>
      <c r="H31" s="70">
        <f>'Q1 (i)'!D30</f>
        <v>0</v>
      </c>
      <c r="I31" s="71">
        <f t="shared" si="4"/>
        <v>20</v>
      </c>
      <c r="J31" s="54">
        <f t="shared" si="5"/>
        <v>0</v>
      </c>
      <c r="K31" s="54">
        <f t="shared" si="0"/>
        <v>-0.95</v>
      </c>
      <c r="L31" s="55">
        <f t="shared" si="1"/>
        <v>2141.3352354754306</v>
      </c>
      <c r="M31" s="55">
        <f t="shared" si="2"/>
        <v>0</v>
      </c>
      <c r="N31" s="55"/>
      <c r="O31" s="55">
        <f t="shared" si="3"/>
        <v>-2162.2852354754305</v>
      </c>
    </row>
    <row r="32" spans="1:15" x14ac:dyDescent="0.25">
      <c r="A32" s="66">
        <v>60</v>
      </c>
      <c r="B32" s="66">
        <v>28</v>
      </c>
      <c r="C32" s="67">
        <f>'Q1 Base'!D33</f>
        <v>7.0933000000000003E-3</v>
      </c>
      <c r="D32" s="67">
        <f>'Q1 Base'!E33</f>
        <v>0</v>
      </c>
      <c r="E32" s="68">
        <f>'Q1 (i)'!H31</f>
        <v>354170.10279979231</v>
      </c>
      <c r="F32" s="68">
        <f>'Q1 (i)'!I31</f>
        <v>100000</v>
      </c>
      <c r="G32" s="69"/>
      <c r="H32" s="70">
        <f>'Q1 (i)'!D31</f>
        <v>0</v>
      </c>
      <c r="I32" s="71">
        <f t="shared" si="4"/>
        <v>20</v>
      </c>
      <c r="J32" s="54">
        <f t="shared" si="5"/>
        <v>0</v>
      </c>
      <c r="K32" s="54">
        <f t="shared" si="0"/>
        <v>-0.95</v>
      </c>
      <c r="L32" s="55">
        <f t="shared" si="1"/>
        <v>2512.234790189767</v>
      </c>
      <c r="M32" s="55">
        <f t="shared" si="2"/>
        <v>0</v>
      </c>
      <c r="N32" s="55"/>
      <c r="O32" s="55">
        <f t="shared" si="3"/>
        <v>-2533.1847901897668</v>
      </c>
    </row>
    <row r="33" spans="1:15" x14ac:dyDescent="0.25">
      <c r="A33" s="66">
        <v>61</v>
      </c>
      <c r="B33" s="66">
        <v>29</v>
      </c>
      <c r="C33" s="67">
        <f>'Q1 Base'!D34</f>
        <v>7.7868E-3</v>
      </c>
      <c r="D33" s="67">
        <f>'Q1 Base'!E34</f>
        <v>0</v>
      </c>
      <c r="E33" s="68">
        <f>'Q1 (i)'!H32</f>
        <v>377509.91257429856</v>
      </c>
      <c r="F33" s="68">
        <f>'Q1 (i)'!I32</f>
        <v>100000</v>
      </c>
      <c r="G33" s="69"/>
      <c r="H33" s="70">
        <f>'Q1 (i)'!D32</f>
        <v>0</v>
      </c>
      <c r="I33" s="71">
        <f t="shared" si="4"/>
        <v>20</v>
      </c>
      <c r="J33" s="54">
        <f t="shared" si="5"/>
        <v>0</v>
      </c>
      <c r="K33" s="54">
        <f t="shared" si="0"/>
        <v>-0.95</v>
      </c>
      <c r="L33" s="55">
        <f t="shared" si="1"/>
        <v>2939.5941872335479</v>
      </c>
      <c r="M33" s="55">
        <f t="shared" si="2"/>
        <v>0</v>
      </c>
      <c r="N33" s="55"/>
      <c r="O33" s="55">
        <f t="shared" si="3"/>
        <v>-2960.5441872335477</v>
      </c>
    </row>
    <row r="34" spans="1:15" x14ac:dyDescent="0.25">
      <c r="A34" s="66">
        <v>62</v>
      </c>
      <c r="B34" s="66">
        <v>30</v>
      </c>
      <c r="C34" s="67">
        <f>'Q1 Base'!D35</f>
        <v>8.5348999999999998E-3</v>
      </c>
      <c r="D34" s="67">
        <f>'Q1 Base'!E35</f>
        <v>0</v>
      </c>
      <c r="E34" s="68">
        <f>'Q1 (i)'!H33</f>
        <v>402387.81581294484</v>
      </c>
      <c r="F34" s="68">
        <f>'Q1 (i)'!I33</f>
        <v>100000</v>
      </c>
      <c r="G34" s="69"/>
      <c r="H34" s="70">
        <f>'Q1 (i)'!D33</f>
        <v>0</v>
      </c>
      <c r="I34" s="71">
        <f t="shared" si="4"/>
        <v>20</v>
      </c>
      <c r="J34" s="54">
        <f t="shared" si="5"/>
        <v>0</v>
      </c>
      <c r="K34" s="54">
        <f t="shared" si="0"/>
        <v>-0.95</v>
      </c>
      <c r="L34" s="55">
        <f t="shared" si="1"/>
        <v>3434.3397691819027</v>
      </c>
      <c r="M34" s="55">
        <f t="shared" si="2"/>
        <v>0</v>
      </c>
      <c r="N34" s="55">
        <f>E34*(1-C34)</f>
        <v>398953.47604376293</v>
      </c>
      <c r="O34" s="55">
        <f t="shared" si="3"/>
        <v>-402408.76581294485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D33" sqref="D33"/>
    </sheetView>
  </sheetViews>
  <sheetFormatPr defaultRowHeight="15" x14ac:dyDescent="0.25"/>
  <cols>
    <col min="2" max="2" width="10.5703125" customWidth="1"/>
    <col min="3" max="3" width="11" customWidth="1"/>
    <col min="6" max="6" width="11.5703125" bestFit="1" customWidth="1"/>
  </cols>
  <sheetData>
    <row r="1" spans="1:6" x14ac:dyDescent="0.25">
      <c r="A1" s="1" t="s">
        <v>59</v>
      </c>
      <c r="F1" s="1" t="s">
        <v>60</v>
      </c>
    </row>
    <row r="2" spans="1:6" ht="30" x14ac:dyDescent="0.25">
      <c r="A2" s="10" t="s">
        <v>1</v>
      </c>
      <c r="B2" s="10" t="s">
        <v>47</v>
      </c>
      <c r="C2" s="10" t="s">
        <v>48</v>
      </c>
      <c r="D2" s="10" t="s">
        <v>49</v>
      </c>
      <c r="F2" s="13" t="s">
        <v>58</v>
      </c>
    </row>
    <row r="3" spans="1:6" x14ac:dyDescent="0.25">
      <c r="A3">
        <v>1</v>
      </c>
      <c r="B3" s="14">
        <f>'Q1 (i)'!H4</f>
        <v>100000</v>
      </c>
      <c r="C3" s="14">
        <f>'Q1 (i)'!I4</f>
        <v>4000</v>
      </c>
      <c r="F3" s="12">
        <f>'Q1 (ii)'!O5</f>
        <v>1539.4325199999998</v>
      </c>
    </row>
    <row r="4" spans="1:6" x14ac:dyDescent="0.25">
      <c r="A4">
        <v>2</v>
      </c>
      <c r="B4" s="14">
        <f>'Q1 (i)'!H5</f>
        <v>100000</v>
      </c>
      <c r="C4" s="14">
        <f>'Q1 (i)'!I5</f>
        <v>8000</v>
      </c>
      <c r="F4" s="12">
        <f>'Q1 (ii)'!O6</f>
        <v>3230.4801200000002</v>
      </c>
    </row>
    <row r="5" spans="1:6" x14ac:dyDescent="0.25">
      <c r="A5">
        <v>3</v>
      </c>
      <c r="B5" s="14">
        <f>'Q1 (i)'!H6</f>
        <v>100000</v>
      </c>
      <c r="C5" s="14">
        <f>'Q1 (i)'!I6</f>
        <v>12000</v>
      </c>
      <c r="F5" s="12">
        <f>'Q1 (ii)'!O7</f>
        <v>2824.1389200000003</v>
      </c>
    </row>
    <row r="6" spans="1:6" x14ac:dyDescent="0.25">
      <c r="A6">
        <v>4</v>
      </c>
      <c r="B6" s="14">
        <f>'Q1 (i)'!H7</f>
        <v>100000</v>
      </c>
      <c r="C6" s="14">
        <f>'Q1 (i)'!I7</f>
        <v>16000</v>
      </c>
      <c r="F6" s="12">
        <f>'Q1 (ii)'!O8</f>
        <v>2416.8875600000001</v>
      </c>
    </row>
    <row r="7" spans="1:6" x14ac:dyDescent="0.25">
      <c r="A7">
        <v>5</v>
      </c>
      <c r="B7" s="14">
        <f>'Q1 (i)'!H8</f>
        <v>100000</v>
      </c>
      <c r="C7" s="14">
        <f>'Q1 (i)'!I8</f>
        <v>20000</v>
      </c>
      <c r="F7" s="12">
        <f>'Q1 (ii)'!O9</f>
        <v>2008.4830000000002</v>
      </c>
    </row>
    <row r="8" spans="1:6" x14ac:dyDescent="0.25">
      <c r="A8">
        <v>6</v>
      </c>
      <c r="B8" s="14">
        <f>'Q1 (i)'!H9</f>
        <v>100000</v>
      </c>
      <c r="C8" s="14">
        <f>'Q1 (i)'!I9</f>
        <v>24000</v>
      </c>
      <c r="F8" s="12">
        <f>'Q1 (ii)'!O10</f>
        <v>2198.38328</v>
      </c>
    </row>
    <row r="9" spans="1:6" x14ac:dyDescent="0.25">
      <c r="A9">
        <v>7</v>
      </c>
      <c r="B9" s="14">
        <f>'Q1 (i)'!H10</f>
        <v>100000</v>
      </c>
      <c r="C9" s="14">
        <f>'Q1 (i)'!I10</f>
        <v>28000</v>
      </c>
      <c r="F9" s="12">
        <f>'Q1 (ii)'!O11</f>
        <v>1887.89734</v>
      </c>
    </row>
    <row r="10" spans="1:6" x14ac:dyDescent="0.25">
      <c r="A10">
        <v>8</v>
      </c>
      <c r="B10" s="14">
        <f>'Q1 (i)'!H11</f>
        <v>100000</v>
      </c>
      <c r="C10" s="14">
        <f>'Q1 (i)'!I11</f>
        <v>32000</v>
      </c>
      <c r="F10" s="12">
        <f>'Q1 (ii)'!O12</f>
        <v>1576.06268</v>
      </c>
    </row>
    <row r="11" spans="1:6" x14ac:dyDescent="0.25">
      <c r="A11">
        <v>9</v>
      </c>
      <c r="B11" s="14">
        <f>'Q1 (i)'!H12</f>
        <v>100000</v>
      </c>
      <c r="C11" s="14">
        <f>'Q1 (i)'!I12</f>
        <v>36000</v>
      </c>
      <c r="F11" s="12">
        <f>'Q1 (ii)'!O13</f>
        <v>1263.3399300000001</v>
      </c>
    </row>
    <row r="12" spans="1:6" x14ac:dyDescent="0.25">
      <c r="A12">
        <v>10</v>
      </c>
      <c r="B12" s="14">
        <f>'Q1 (i)'!H13</f>
        <v>100000</v>
      </c>
      <c r="C12" s="14">
        <f>'Q1 (i)'!I13</f>
        <v>40000</v>
      </c>
      <c r="F12" s="12">
        <f>'Q1 (ii)'!O14</f>
        <v>950.15509999999995</v>
      </c>
    </row>
    <row r="13" spans="1:6" x14ac:dyDescent="0.25">
      <c r="A13">
        <v>11</v>
      </c>
      <c r="B13" s="14">
        <f>'Q1 (i)'!H14</f>
        <v>100000</v>
      </c>
      <c r="C13" s="14">
        <f>'Q1 (i)'!I14</f>
        <v>44000</v>
      </c>
      <c r="F13" s="12">
        <f>'Q1 (ii)'!O15</f>
        <v>1734.1508600000002</v>
      </c>
    </row>
    <row r="14" spans="1:6" x14ac:dyDescent="0.25">
      <c r="A14">
        <v>12</v>
      </c>
      <c r="B14" s="14">
        <f>'Q1 (i)'!H15</f>
        <v>100000</v>
      </c>
      <c r="C14" s="14">
        <f>'Q1 (i)'!I15</f>
        <v>48000</v>
      </c>
      <c r="F14" s="12">
        <f>'Q1 (ii)'!O16</f>
        <v>1519.1813999999999</v>
      </c>
    </row>
    <row r="15" spans="1:6" x14ac:dyDescent="0.25">
      <c r="A15">
        <v>13</v>
      </c>
      <c r="B15" s="14">
        <f>'Q1 (i)'!H16</f>
        <v>100000</v>
      </c>
      <c r="C15" s="14">
        <f>'Q1 (i)'!I16</f>
        <v>52000</v>
      </c>
      <c r="F15" s="12">
        <f>'Q1 (ii)'!O17</f>
        <v>1303.9339199999999</v>
      </c>
    </row>
    <row r="16" spans="1:6" x14ac:dyDescent="0.25">
      <c r="A16">
        <v>14</v>
      </c>
      <c r="B16" s="14">
        <f>'Q1 (i)'!H17</f>
        <v>107407.93145684959</v>
      </c>
      <c r="C16" s="14">
        <f>'Q1 (i)'!I17</f>
        <v>56000</v>
      </c>
      <c r="F16" s="12">
        <f>'Q1 (ii)'!O18</f>
        <v>1070.7626747312383</v>
      </c>
    </row>
    <row r="17" spans="1:6" x14ac:dyDescent="0.25">
      <c r="A17">
        <v>15</v>
      </c>
      <c r="B17" s="14">
        <f>'Q1 (i)'!H18</f>
        <v>119389.25413985597</v>
      </c>
      <c r="C17" s="14">
        <f>'Q1 (i)'!I18</f>
        <v>60000</v>
      </c>
      <c r="F17" s="12">
        <f>'Q1 (ii)'!O19</f>
        <v>822.81541114769198</v>
      </c>
    </row>
    <row r="18" spans="1:6" x14ac:dyDescent="0.25">
      <c r="A18">
        <v>16</v>
      </c>
      <c r="B18" s="14">
        <f>'Q1 (i)'!H19</f>
        <v>132160.14598767247</v>
      </c>
      <c r="C18" s="14">
        <f>'Q1 (i)'!I19</f>
        <v>64000</v>
      </c>
      <c r="F18" s="12">
        <f>'Q1 (ii)'!O20</f>
        <v>2163.3400769135624</v>
      </c>
    </row>
    <row r="19" spans="1:6" x14ac:dyDescent="0.25">
      <c r="A19">
        <v>17</v>
      </c>
      <c r="B19" s="14">
        <f>'Q1 (i)'!H20</f>
        <v>145772.6396082601</v>
      </c>
      <c r="C19" s="14">
        <f>'Q1 (i)'!I20</f>
        <v>68000</v>
      </c>
      <c r="F19" s="12">
        <f>'Q1 (ii)'!O21</f>
        <v>1999.2389339990273</v>
      </c>
    </row>
    <row r="20" spans="1:6" x14ac:dyDescent="0.25">
      <c r="A20">
        <v>18</v>
      </c>
      <c r="B20" s="14">
        <f>'Q1 (i)'!H21</f>
        <v>160282.19655844444</v>
      </c>
      <c r="C20" s="14">
        <f>'Q1 (i)'!I21</f>
        <v>72000</v>
      </c>
      <c r="F20" s="12">
        <f>'Q1 (ii)'!O22</f>
        <v>1825.2851013508871</v>
      </c>
    </row>
    <row r="21" spans="1:6" x14ac:dyDescent="0.25">
      <c r="A21">
        <v>19</v>
      </c>
      <c r="B21" s="14">
        <f>'Q1 (i)'!H22</f>
        <v>175747.93331164593</v>
      </c>
      <c r="C21" s="14">
        <f>'Q1 (i)'!I22</f>
        <v>76000</v>
      </c>
      <c r="F21" s="12">
        <f>'Q1 (ii)'!O23</f>
        <v>1639.4824766120046</v>
      </c>
    </row>
    <row r="22" spans="1:6" x14ac:dyDescent="0.25">
      <c r="A22">
        <v>20</v>
      </c>
      <c r="B22" s="14">
        <f>'Q1 (i)'!H23</f>
        <v>192232.86211688336</v>
      </c>
      <c r="C22" s="14">
        <f>'Q1 (i)'!I23</f>
        <v>80000</v>
      </c>
      <c r="F22" s="12">
        <f>'Q1 (ii)'!O24</f>
        <v>1439.2557780017785</v>
      </c>
    </row>
    <row r="23" spans="1:6" x14ac:dyDescent="0.25">
      <c r="A23">
        <v>21</v>
      </c>
      <c r="B23" s="14">
        <f>'Q1 (i)'!H24</f>
        <v>209804.14773038597</v>
      </c>
      <c r="C23" s="14">
        <f>'Q1 (i)'!I24</f>
        <v>84000</v>
      </c>
      <c r="F23" s="12">
        <f>'Q1 (ii)'!O25</f>
        <v>2476.5512783403524</v>
      </c>
    </row>
    <row r="24" spans="1:6" x14ac:dyDescent="0.25">
      <c r="A24">
        <v>22</v>
      </c>
      <c r="B24" s="14">
        <f>'Q1 (i)'!H25</f>
        <v>228533.38106581836</v>
      </c>
      <c r="C24" s="14">
        <f>'Q1 (i)'!I25</f>
        <v>88000</v>
      </c>
      <c r="F24" s="12">
        <f>'Q1 (ii)'!O26</f>
        <v>2296.2388828171047</v>
      </c>
    </row>
    <row r="25" spans="1:6" x14ac:dyDescent="0.25">
      <c r="A25">
        <v>23</v>
      </c>
      <c r="B25" s="14">
        <f>'Q1 (i)'!H26</f>
        <v>248496.87087805578</v>
      </c>
      <c r="C25" s="14">
        <f>'Q1 (i)'!I26</f>
        <v>92000</v>
      </c>
      <c r="F25" s="12">
        <f>'Q1 (ii)'!O27</f>
        <v>2091.1947561553061</v>
      </c>
    </row>
    <row r="26" spans="1:6" x14ac:dyDescent="0.25">
      <c r="A26">
        <v>24</v>
      </c>
      <c r="B26" s="14">
        <f>'Q1 (i)'!H27</f>
        <v>269775.95466891967</v>
      </c>
      <c r="C26" s="14">
        <f>'Q1 (i)'!I27</f>
        <v>96000</v>
      </c>
      <c r="F26" s="12">
        <f>'Q1 (ii)'!O28</f>
        <v>1854.9068579202899</v>
      </c>
    </row>
    <row r="27" spans="1:6" x14ac:dyDescent="0.25">
      <c r="A27">
        <v>25</v>
      </c>
      <c r="B27" s="14">
        <f>'Q1 (i)'!H28</f>
        <v>292457.33008160145</v>
      </c>
      <c r="C27" s="14">
        <f>'Q1 (i)'!I28</f>
        <v>100000</v>
      </c>
      <c r="F27" s="12">
        <f>'Q1 (ii)'!O29</f>
        <v>1572.4757737616592</v>
      </c>
    </row>
    <row r="28" spans="1:6" x14ac:dyDescent="0.25">
      <c r="A28">
        <v>26</v>
      </c>
      <c r="B28" s="14">
        <f>'Q1 (i)'!H29</f>
        <v>311730.26813397894</v>
      </c>
      <c r="C28" s="14">
        <f>'Q1 (i)'!I29</f>
        <v>100000</v>
      </c>
      <c r="F28" s="12">
        <f>'Q1 (ii)'!O30</f>
        <v>-1841.5171119560639</v>
      </c>
    </row>
    <row r="29" spans="1:6" x14ac:dyDescent="0.25">
      <c r="A29">
        <v>27</v>
      </c>
      <c r="B29" s="14">
        <f>'Q1 (i)'!H30</f>
        <v>332273.29280400818</v>
      </c>
      <c r="C29" s="14">
        <f>'Q1 (i)'!I30</f>
        <v>100000</v>
      </c>
      <c r="F29" s="12">
        <f>'Q1 (ii)'!O31</f>
        <v>-2162.2852354754305</v>
      </c>
    </row>
    <row r="30" spans="1:6" x14ac:dyDescent="0.25">
      <c r="A30">
        <v>28</v>
      </c>
      <c r="B30" s="14">
        <f>'Q1 (i)'!H31</f>
        <v>354170.10279979231</v>
      </c>
      <c r="C30" s="14">
        <f>'Q1 (i)'!I31</f>
        <v>100000</v>
      </c>
      <c r="F30" s="12">
        <f>'Q1 (ii)'!O32</f>
        <v>-2533.1847901897668</v>
      </c>
    </row>
    <row r="31" spans="1:6" x14ac:dyDescent="0.25">
      <c r="A31">
        <v>29</v>
      </c>
      <c r="B31" s="14">
        <f>'Q1 (i)'!H32</f>
        <v>377509.91257429856</v>
      </c>
      <c r="C31" s="14">
        <f>'Q1 (i)'!I32</f>
        <v>100000</v>
      </c>
      <c r="F31" s="12">
        <f>'Q1 (ii)'!O33</f>
        <v>-2960.5441872335477</v>
      </c>
    </row>
    <row r="32" spans="1:6" x14ac:dyDescent="0.25">
      <c r="A32">
        <v>30</v>
      </c>
      <c r="B32" s="14">
        <f>'Q1 (i)'!H33</f>
        <v>402387.81581294484</v>
      </c>
      <c r="C32" s="14">
        <f>'Q1 (i)'!I33</f>
        <v>100000</v>
      </c>
      <c r="D32" s="14">
        <f>'Q1 (i)'!J33</f>
        <v>402387.81581294484</v>
      </c>
      <c r="F32" s="12">
        <f>'Q1 (ii)'!O34</f>
        <v>-402408.76581294485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3"/>
  <sheetViews>
    <sheetView topLeftCell="A5" workbookViewId="0"/>
  </sheetViews>
  <sheetFormatPr defaultRowHeight="15" x14ac:dyDescent="0.25"/>
  <cols>
    <col min="3" max="3" width="13.28515625" customWidth="1"/>
  </cols>
  <sheetData>
    <row r="2" spans="2:3" ht="45" x14ac:dyDescent="0.25">
      <c r="B2" s="10" t="s">
        <v>61</v>
      </c>
      <c r="C2" s="10" t="s">
        <v>62</v>
      </c>
    </row>
    <row r="3" spans="2:3" x14ac:dyDescent="0.25">
      <c r="B3" s="11">
        <v>0</v>
      </c>
      <c r="C3" s="10"/>
    </row>
    <row r="4" spans="2:3" x14ac:dyDescent="0.25">
      <c r="B4" s="11">
        <v>1</v>
      </c>
      <c r="C4" s="15">
        <v>100000</v>
      </c>
    </row>
    <row r="5" spans="2:3" x14ac:dyDescent="0.25">
      <c r="B5" s="11">
        <v>2</v>
      </c>
      <c r="C5" s="15">
        <v>100000</v>
      </c>
    </row>
    <row r="6" spans="2:3" x14ac:dyDescent="0.25">
      <c r="B6" s="11">
        <v>3</v>
      </c>
      <c r="C6" s="15">
        <v>100000</v>
      </c>
    </row>
    <row r="7" spans="2:3" x14ac:dyDescent="0.25">
      <c r="B7" s="11">
        <v>4</v>
      </c>
      <c r="C7" s="15">
        <v>100000</v>
      </c>
    </row>
    <row r="8" spans="2:3" x14ac:dyDescent="0.25">
      <c r="B8" s="11">
        <v>5</v>
      </c>
      <c r="C8" s="15">
        <v>100000</v>
      </c>
    </row>
    <row r="9" spans="2:3" x14ac:dyDescent="0.25">
      <c r="B9" s="11">
        <v>6</v>
      </c>
      <c r="C9" s="15">
        <v>100000</v>
      </c>
    </row>
    <row r="10" spans="2:3" x14ac:dyDescent="0.25">
      <c r="B10" s="11">
        <v>7</v>
      </c>
      <c r="C10" s="15">
        <v>100000</v>
      </c>
    </row>
    <row r="11" spans="2:3" x14ac:dyDescent="0.25">
      <c r="B11" s="11">
        <v>8</v>
      </c>
      <c r="C11" s="15">
        <v>100000</v>
      </c>
    </row>
    <row r="12" spans="2:3" x14ac:dyDescent="0.25">
      <c r="B12" s="11">
        <v>9</v>
      </c>
      <c r="C12" s="15">
        <v>14000000</v>
      </c>
    </row>
    <row r="13" spans="2:3" x14ac:dyDescent="0.25">
      <c r="B13" s="11">
        <v>10</v>
      </c>
      <c r="C13" s="15">
        <v>50000</v>
      </c>
    </row>
    <row r="14" spans="2:3" x14ac:dyDescent="0.25">
      <c r="B14" s="11">
        <v>11</v>
      </c>
      <c r="C14" s="15">
        <v>60000</v>
      </c>
    </row>
    <row r="15" spans="2:3" x14ac:dyDescent="0.25">
      <c r="B15" s="11">
        <v>12</v>
      </c>
      <c r="C15" s="15">
        <v>70000</v>
      </c>
    </row>
    <row r="16" spans="2:3" x14ac:dyDescent="0.25">
      <c r="B16" s="11">
        <v>13</v>
      </c>
      <c r="C16" s="15">
        <v>80000</v>
      </c>
    </row>
    <row r="17" spans="2:3" x14ac:dyDescent="0.25">
      <c r="B17" s="11">
        <v>14</v>
      </c>
      <c r="C17" s="15">
        <v>90000</v>
      </c>
    </row>
    <row r="18" spans="2:3" x14ac:dyDescent="0.25">
      <c r="B18" s="11">
        <v>15</v>
      </c>
      <c r="C18" s="15">
        <v>100000</v>
      </c>
    </row>
    <row r="19" spans="2:3" x14ac:dyDescent="0.25">
      <c r="B19" s="11">
        <v>16</v>
      </c>
      <c r="C19" s="15">
        <v>1600000</v>
      </c>
    </row>
    <row r="20" spans="2:3" x14ac:dyDescent="0.25">
      <c r="B20" s="11">
        <v>17</v>
      </c>
      <c r="C20" s="15">
        <v>0</v>
      </c>
    </row>
    <row r="21" spans="2:3" x14ac:dyDescent="0.25">
      <c r="B21" s="11">
        <v>18</v>
      </c>
      <c r="C21" s="15">
        <v>0</v>
      </c>
    </row>
    <row r="22" spans="2:3" x14ac:dyDescent="0.25">
      <c r="B22" s="11">
        <v>19</v>
      </c>
      <c r="C22" s="15">
        <v>20000000</v>
      </c>
    </row>
    <row r="23" spans="2:3" x14ac:dyDescent="0.25">
      <c r="B23" s="11">
        <v>20</v>
      </c>
      <c r="C23" s="15">
        <v>250000</v>
      </c>
    </row>
    <row r="24" spans="2:3" x14ac:dyDescent="0.25">
      <c r="B24" s="11">
        <v>21</v>
      </c>
      <c r="C24" s="15">
        <v>0</v>
      </c>
    </row>
    <row r="25" spans="2:3" x14ac:dyDescent="0.25">
      <c r="B25" s="11">
        <v>22</v>
      </c>
      <c r="C25" s="15">
        <v>400000</v>
      </c>
    </row>
    <row r="26" spans="2:3" x14ac:dyDescent="0.25">
      <c r="B26" s="11">
        <v>23</v>
      </c>
      <c r="C26" s="15">
        <v>30000</v>
      </c>
    </row>
    <row r="27" spans="2:3" x14ac:dyDescent="0.25">
      <c r="B27" s="11">
        <v>24</v>
      </c>
      <c r="C27" s="15">
        <v>80000</v>
      </c>
    </row>
    <row r="28" spans="2:3" x14ac:dyDescent="0.25">
      <c r="B28" s="11">
        <v>25</v>
      </c>
      <c r="C28" s="15">
        <v>1500000</v>
      </c>
    </row>
    <row r="29" spans="2:3" x14ac:dyDescent="0.25">
      <c r="B29" s="11">
        <v>26</v>
      </c>
      <c r="C29" s="15">
        <v>200000</v>
      </c>
    </row>
    <row r="30" spans="2:3" x14ac:dyDescent="0.25">
      <c r="B30" s="11">
        <v>27</v>
      </c>
      <c r="C30" s="15">
        <v>0</v>
      </c>
    </row>
    <row r="31" spans="2:3" x14ac:dyDescent="0.25">
      <c r="B31" s="11">
        <v>28</v>
      </c>
      <c r="C31" s="15">
        <v>0</v>
      </c>
    </row>
    <row r="32" spans="2:3" x14ac:dyDescent="0.25">
      <c r="B32" s="11">
        <v>29</v>
      </c>
      <c r="C32" s="15">
        <v>10000000</v>
      </c>
    </row>
    <row r="33" spans="2:3" x14ac:dyDescent="0.25">
      <c r="B33" s="11">
        <v>30</v>
      </c>
      <c r="C33" s="15">
        <v>19328585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8"/>
  <sheetViews>
    <sheetView workbookViewId="0"/>
  </sheetViews>
  <sheetFormatPr defaultRowHeight="15" x14ac:dyDescent="0.25"/>
  <cols>
    <col min="1" max="1" width="9.140625" style="45"/>
    <col min="2" max="2" width="7.5703125" style="45" bestFit="1" customWidth="1"/>
    <col min="3" max="3" width="11.5703125" style="45" bestFit="1" customWidth="1"/>
    <col min="4" max="4" width="12.42578125" style="45" customWidth="1"/>
    <col min="5" max="5" width="11.5703125" style="45" bestFit="1" customWidth="1"/>
    <col min="6" max="6" width="12.5703125" style="45" bestFit="1" customWidth="1"/>
    <col min="7" max="16384" width="9.140625" style="45"/>
  </cols>
  <sheetData>
    <row r="1" spans="2:9" x14ac:dyDescent="0.25">
      <c r="D1" s="72">
        <v>0.02</v>
      </c>
    </row>
    <row r="2" spans="2:9" s="44" customFormat="1" x14ac:dyDescent="0.25">
      <c r="D2" s="44" t="s">
        <v>40</v>
      </c>
      <c r="E2" s="44" t="s">
        <v>50</v>
      </c>
      <c r="F2" s="44" t="s">
        <v>40</v>
      </c>
    </row>
    <row r="3" spans="2:9" ht="45" x14ac:dyDescent="0.25">
      <c r="B3" s="51" t="s">
        <v>63</v>
      </c>
      <c r="C3" s="51" t="s">
        <v>64</v>
      </c>
      <c r="D3" s="51" t="s">
        <v>65</v>
      </c>
      <c r="E3" s="51" t="s">
        <v>66</v>
      </c>
      <c r="F3" s="51" t="s">
        <v>67</v>
      </c>
    </row>
    <row r="4" spans="2:9" x14ac:dyDescent="0.25">
      <c r="B4" s="53">
        <v>1</v>
      </c>
      <c r="C4" s="73">
        <f>'Q2 Base'!C4</f>
        <v>100000</v>
      </c>
      <c r="D4" s="74">
        <f t="shared" ref="D4:D33" si="0">(1+$D$1)^-B4</f>
        <v>0.98039215686274506</v>
      </c>
      <c r="E4" s="75">
        <f t="shared" ref="E4:E33" si="1">C4*D4</f>
        <v>98039.215686274503</v>
      </c>
      <c r="F4" s="75">
        <f>E4*B4</f>
        <v>98039.215686274503</v>
      </c>
      <c r="H4" s="76">
        <v>1</v>
      </c>
      <c r="I4" s="77" t="s">
        <v>68</v>
      </c>
    </row>
    <row r="5" spans="2:9" x14ac:dyDescent="0.25">
      <c r="B5" s="53">
        <v>2</v>
      </c>
      <c r="C5" s="73">
        <f>'Q2 Base'!C5</f>
        <v>100000</v>
      </c>
      <c r="D5" s="74">
        <f t="shared" si="0"/>
        <v>0.96116878123798544</v>
      </c>
      <c r="E5" s="75">
        <f t="shared" si="1"/>
        <v>96116.878123798539</v>
      </c>
      <c r="F5" s="75">
        <f t="shared" ref="F5:F33" si="2">E5*B5</f>
        <v>192233.75624759708</v>
      </c>
      <c r="H5" s="76">
        <v>2</v>
      </c>
      <c r="I5" s="76" t="s">
        <v>69</v>
      </c>
    </row>
    <row r="6" spans="2:9" x14ac:dyDescent="0.25">
      <c r="B6" s="53">
        <v>3</v>
      </c>
      <c r="C6" s="73">
        <f>'Q2 Base'!C6</f>
        <v>100000</v>
      </c>
      <c r="D6" s="74">
        <f t="shared" si="0"/>
        <v>0.94232233454704462</v>
      </c>
      <c r="E6" s="75">
        <f t="shared" si="1"/>
        <v>94232.233454704459</v>
      </c>
      <c r="F6" s="75">
        <f t="shared" si="2"/>
        <v>282696.70036411338</v>
      </c>
      <c r="H6" s="76">
        <v>1</v>
      </c>
      <c r="I6" s="76" t="s">
        <v>70</v>
      </c>
    </row>
    <row r="7" spans="2:9" x14ac:dyDescent="0.25">
      <c r="B7" s="53">
        <v>4</v>
      </c>
      <c r="C7" s="73">
        <f>'Q2 Base'!C7</f>
        <v>100000</v>
      </c>
      <c r="D7" s="74">
        <f t="shared" si="0"/>
        <v>0.9238454260265142</v>
      </c>
      <c r="E7" s="75">
        <f t="shared" si="1"/>
        <v>92384.542602651418</v>
      </c>
      <c r="F7" s="75">
        <f t="shared" si="2"/>
        <v>369538.17041060567</v>
      </c>
      <c r="H7" s="76">
        <v>1</v>
      </c>
      <c r="I7" s="76" t="s">
        <v>71</v>
      </c>
    </row>
    <row r="8" spans="2:9" x14ac:dyDescent="0.25">
      <c r="B8" s="53">
        <v>5</v>
      </c>
      <c r="C8" s="73">
        <f>'Q2 Base'!C8</f>
        <v>100000</v>
      </c>
      <c r="D8" s="74">
        <f t="shared" si="0"/>
        <v>0.90573080982991594</v>
      </c>
      <c r="E8" s="75">
        <f t="shared" si="1"/>
        <v>90573.080982991596</v>
      </c>
      <c r="F8" s="75">
        <f t="shared" si="2"/>
        <v>452865.404914958</v>
      </c>
      <c r="H8" s="76">
        <v>1</v>
      </c>
      <c r="I8" s="76" t="s">
        <v>72</v>
      </c>
    </row>
    <row r="9" spans="2:9" x14ac:dyDescent="0.25">
      <c r="B9" s="53">
        <v>6</v>
      </c>
      <c r="C9" s="73">
        <f>'Q2 Base'!C9</f>
        <v>100000</v>
      </c>
      <c r="D9" s="74">
        <f t="shared" si="0"/>
        <v>0.88797138218619198</v>
      </c>
      <c r="E9" s="75">
        <f t="shared" si="1"/>
        <v>88797.138218619191</v>
      </c>
      <c r="F9" s="75">
        <f t="shared" si="2"/>
        <v>532782.82931171521</v>
      </c>
      <c r="H9" s="76">
        <v>1</v>
      </c>
      <c r="I9" s="76" t="s">
        <v>73</v>
      </c>
    </row>
    <row r="10" spans="2:9" x14ac:dyDescent="0.25">
      <c r="B10" s="53">
        <v>7</v>
      </c>
      <c r="C10" s="73">
        <f>'Q2 Base'!C10</f>
        <v>100000</v>
      </c>
      <c r="D10" s="74">
        <f t="shared" si="0"/>
        <v>0.87056017861391388</v>
      </c>
      <c r="E10" s="75">
        <f t="shared" si="1"/>
        <v>87056.017861391389</v>
      </c>
      <c r="F10" s="75">
        <f t="shared" si="2"/>
        <v>609392.12502973969</v>
      </c>
      <c r="H10" s="76">
        <f>SUM(H4:H9)</f>
        <v>7</v>
      </c>
      <c r="I10" s="76"/>
    </row>
    <row r="11" spans="2:9" x14ac:dyDescent="0.25">
      <c r="B11" s="53">
        <v>8</v>
      </c>
      <c r="C11" s="73">
        <f>'Q2 Base'!C11</f>
        <v>100000</v>
      </c>
      <c r="D11" s="74">
        <f t="shared" si="0"/>
        <v>0.85349037119011162</v>
      </c>
      <c r="E11" s="75">
        <f t="shared" si="1"/>
        <v>85349.037119011162</v>
      </c>
      <c r="F11" s="75">
        <f t="shared" si="2"/>
        <v>682792.29695208929</v>
      </c>
    </row>
    <row r="12" spans="2:9" x14ac:dyDescent="0.25">
      <c r="B12" s="53">
        <v>9</v>
      </c>
      <c r="C12" s="73">
        <f>'Q2 Base'!C12</f>
        <v>14000000</v>
      </c>
      <c r="D12" s="74">
        <f t="shared" si="0"/>
        <v>0.83675526587265847</v>
      </c>
      <c r="E12" s="75">
        <f t="shared" si="1"/>
        <v>11714573.722217219</v>
      </c>
      <c r="F12" s="75">
        <f t="shared" si="2"/>
        <v>105431163.49995497</v>
      </c>
    </row>
    <row r="13" spans="2:9" x14ac:dyDescent="0.25">
      <c r="B13" s="53">
        <v>10</v>
      </c>
      <c r="C13" s="73">
        <f>'Q2 Base'!C13</f>
        <v>50000</v>
      </c>
      <c r="D13" s="74">
        <f t="shared" si="0"/>
        <v>0.82034829987515534</v>
      </c>
      <c r="E13" s="75">
        <f t="shared" si="1"/>
        <v>41017.414993757768</v>
      </c>
      <c r="F13" s="75">
        <f t="shared" si="2"/>
        <v>410174.14993757766</v>
      </c>
    </row>
    <row r="14" spans="2:9" x14ac:dyDescent="0.25">
      <c r="B14" s="53">
        <v>11</v>
      </c>
      <c r="C14" s="73">
        <f>'Q2 Base'!C14</f>
        <v>60000</v>
      </c>
      <c r="D14" s="74">
        <f t="shared" si="0"/>
        <v>0.80426303909328967</v>
      </c>
      <c r="E14" s="75">
        <f t="shared" si="1"/>
        <v>48255.782345597378</v>
      </c>
      <c r="F14" s="75">
        <f t="shared" si="2"/>
        <v>530813.60580157116</v>
      </c>
    </row>
    <row r="15" spans="2:9" x14ac:dyDescent="0.25">
      <c r="B15" s="53">
        <v>12</v>
      </c>
      <c r="C15" s="73">
        <f>'Q2 Base'!C15</f>
        <v>70000</v>
      </c>
      <c r="D15" s="74">
        <f t="shared" si="0"/>
        <v>0.78849317558165644</v>
      </c>
      <c r="E15" s="75">
        <f t="shared" si="1"/>
        <v>55194.522290715948</v>
      </c>
      <c r="F15" s="75">
        <f t="shared" si="2"/>
        <v>662334.26748859137</v>
      </c>
    </row>
    <row r="16" spans="2:9" x14ac:dyDescent="0.25">
      <c r="B16" s="53">
        <v>13</v>
      </c>
      <c r="C16" s="73">
        <f>'Q2 Base'!C16</f>
        <v>80000</v>
      </c>
      <c r="D16" s="74">
        <f t="shared" si="0"/>
        <v>0.77303252508005538</v>
      </c>
      <c r="E16" s="75">
        <f t="shared" si="1"/>
        <v>61842.602006404428</v>
      </c>
      <c r="F16" s="75">
        <f t="shared" si="2"/>
        <v>803953.82608325756</v>
      </c>
    </row>
    <row r="17" spans="2:6" x14ac:dyDescent="0.25">
      <c r="B17" s="53">
        <v>14</v>
      </c>
      <c r="C17" s="73">
        <f>'Q2 Base'!C17</f>
        <v>90000</v>
      </c>
      <c r="D17" s="74">
        <f t="shared" si="0"/>
        <v>0.75787502458828948</v>
      </c>
      <c r="E17" s="75">
        <f t="shared" si="1"/>
        <v>68208.752212946056</v>
      </c>
      <c r="F17" s="75">
        <f t="shared" si="2"/>
        <v>954922.53098124475</v>
      </c>
    </row>
    <row r="18" spans="2:6" x14ac:dyDescent="0.25">
      <c r="B18" s="53">
        <v>15</v>
      </c>
      <c r="C18" s="73">
        <f>'Q2 Base'!C18</f>
        <v>100000</v>
      </c>
      <c r="D18" s="74">
        <f t="shared" si="0"/>
        <v>0.74301472998851925</v>
      </c>
      <c r="E18" s="75">
        <f t="shared" si="1"/>
        <v>74301.472998851925</v>
      </c>
      <c r="F18" s="75">
        <f t="shared" si="2"/>
        <v>1114522.0949827789</v>
      </c>
    </row>
    <row r="19" spans="2:6" x14ac:dyDescent="0.25">
      <c r="B19" s="53">
        <v>16</v>
      </c>
      <c r="C19" s="73">
        <f>'Q2 Base'!C19</f>
        <v>1600000</v>
      </c>
      <c r="D19" s="74">
        <f t="shared" si="0"/>
        <v>0.72844581371423445</v>
      </c>
      <c r="E19" s="75">
        <f t="shared" si="1"/>
        <v>1165513.301942775</v>
      </c>
      <c r="F19" s="75">
        <f t="shared" si="2"/>
        <v>18648212.8310844</v>
      </c>
    </row>
    <row r="20" spans="2:6" x14ac:dyDescent="0.25">
      <c r="B20" s="53">
        <v>17</v>
      </c>
      <c r="C20" s="73">
        <f>'Q2 Base'!C20</f>
        <v>0</v>
      </c>
      <c r="D20" s="74">
        <f t="shared" si="0"/>
        <v>0.7141625624649357</v>
      </c>
      <c r="E20" s="75">
        <f t="shared" si="1"/>
        <v>0</v>
      </c>
      <c r="F20" s="75">
        <f t="shared" si="2"/>
        <v>0</v>
      </c>
    </row>
    <row r="21" spans="2:6" x14ac:dyDescent="0.25">
      <c r="B21" s="53">
        <v>18</v>
      </c>
      <c r="C21" s="73">
        <f>'Q2 Base'!C21</f>
        <v>0</v>
      </c>
      <c r="D21" s="74">
        <f t="shared" si="0"/>
        <v>0.7001593749656233</v>
      </c>
      <c r="E21" s="75">
        <f t="shared" si="1"/>
        <v>0</v>
      </c>
      <c r="F21" s="75">
        <f t="shared" si="2"/>
        <v>0</v>
      </c>
    </row>
    <row r="22" spans="2:6" x14ac:dyDescent="0.25">
      <c r="B22" s="53">
        <v>19</v>
      </c>
      <c r="C22" s="73">
        <f>'Q2 Base'!C22</f>
        <v>20000000</v>
      </c>
      <c r="D22" s="74">
        <f t="shared" si="0"/>
        <v>0.68643075977021895</v>
      </c>
      <c r="E22" s="75">
        <f t="shared" si="1"/>
        <v>13728615.195404379</v>
      </c>
      <c r="F22" s="75">
        <f t="shared" si="2"/>
        <v>260843688.7126832</v>
      </c>
    </row>
    <row r="23" spans="2:6" x14ac:dyDescent="0.25">
      <c r="B23" s="53">
        <v>20</v>
      </c>
      <c r="C23" s="73">
        <f>'Q2 Base'!C23</f>
        <v>250000</v>
      </c>
      <c r="D23" s="74">
        <f t="shared" si="0"/>
        <v>0.67297133310805779</v>
      </c>
      <c r="E23" s="75">
        <f t="shared" si="1"/>
        <v>168242.83327701443</v>
      </c>
      <c r="F23" s="75">
        <f t="shared" si="2"/>
        <v>3364856.6655402887</v>
      </c>
    </row>
    <row r="24" spans="2:6" x14ac:dyDescent="0.25">
      <c r="B24" s="53">
        <v>21</v>
      </c>
      <c r="C24" s="73">
        <f>'Q2 Base'!C24</f>
        <v>0</v>
      </c>
      <c r="D24" s="74">
        <f t="shared" si="0"/>
        <v>0.65977581677260566</v>
      </c>
      <c r="E24" s="75">
        <f t="shared" si="1"/>
        <v>0</v>
      </c>
      <c r="F24" s="75">
        <f t="shared" si="2"/>
        <v>0</v>
      </c>
    </row>
    <row r="25" spans="2:6" x14ac:dyDescent="0.25">
      <c r="B25" s="53">
        <v>22</v>
      </c>
      <c r="C25" s="73">
        <f>'Q2 Base'!C25</f>
        <v>400000</v>
      </c>
      <c r="D25" s="74">
        <f t="shared" si="0"/>
        <v>0.64683903605157411</v>
      </c>
      <c r="E25" s="75">
        <f t="shared" si="1"/>
        <v>258735.61442062963</v>
      </c>
      <c r="F25" s="75">
        <f t="shared" si="2"/>
        <v>5692183.5172538515</v>
      </c>
    </row>
    <row r="26" spans="2:6" x14ac:dyDescent="0.25">
      <c r="B26" s="53">
        <v>23</v>
      </c>
      <c r="C26" s="73">
        <f>'Q2 Base'!C26</f>
        <v>30000</v>
      </c>
      <c r="D26" s="74">
        <f t="shared" si="0"/>
        <v>0.63415591769762181</v>
      </c>
      <c r="E26" s="75">
        <f t="shared" si="1"/>
        <v>19024.677530928653</v>
      </c>
      <c r="F26" s="75">
        <f t="shared" si="2"/>
        <v>437567.58321135904</v>
      </c>
    </row>
    <row r="27" spans="2:6" x14ac:dyDescent="0.25">
      <c r="B27" s="53">
        <v>24</v>
      </c>
      <c r="C27" s="73">
        <f>'Q2 Base'!C27</f>
        <v>80000</v>
      </c>
      <c r="D27" s="74">
        <f t="shared" si="0"/>
        <v>0.62172148793884485</v>
      </c>
      <c r="E27" s="75">
        <f t="shared" si="1"/>
        <v>49737.719035107591</v>
      </c>
      <c r="F27" s="75">
        <f t="shared" si="2"/>
        <v>1193705.2568425823</v>
      </c>
    </row>
    <row r="28" spans="2:6" x14ac:dyDescent="0.25">
      <c r="B28" s="53">
        <v>25</v>
      </c>
      <c r="C28" s="73">
        <f>'Q2 Base'!C28</f>
        <v>1500000</v>
      </c>
      <c r="D28" s="74">
        <f t="shared" si="0"/>
        <v>0.60953087052827937</v>
      </c>
      <c r="E28" s="75">
        <f t="shared" si="1"/>
        <v>914296.30579241901</v>
      </c>
      <c r="F28" s="75">
        <f t="shared" si="2"/>
        <v>22857407.644810475</v>
      </c>
    </row>
    <row r="29" spans="2:6" x14ac:dyDescent="0.25">
      <c r="B29" s="53">
        <v>26</v>
      </c>
      <c r="C29" s="73">
        <f>'Q2 Base'!C29</f>
        <v>200000</v>
      </c>
      <c r="D29" s="74">
        <f t="shared" si="0"/>
        <v>0.59757928483164635</v>
      </c>
      <c r="E29" s="75">
        <f t="shared" si="1"/>
        <v>119515.85696632927</v>
      </c>
      <c r="F29" s="75">
        <f t="shared" si="2"/>
        <v>3107412.2811245611</v>
      </c>
    </row>
    <row r="30" spans="2:6" x14ac:dyDescent="0.25">
      <c r="B30" s="53">
        <v>27</v>
      </c>
      <c r="C30" s="73">
        <f>'Q2 Base'!C30</f>
        <v>0</v>
      </c>
      <c r="D30" s="74">
        <f t="shared" si="0"/>
        <v>0.58586204395259456</v>
      </c>
      <c r="E30" s="75">
        <f t="shared" si="1"/>
        <v>0</v>
      </c>
      <c r="F30" s="75">
        <f t="shared" si="2"/>
        <v>0</v>
      </c>
    </row>
    <row r="31" spans="2:6" x14ac:dyDescent="0.25">
      <c r="B31" s="53">
        <v>28</v>
      </c>
      <c r="C31" s="73">
        <f>'Q2 Base'!C31</f>
        <v>0</v>
      </c>
      <c r="D31" s="74">
        <f t="shared" si="0"/>
        <v>0.57437455289470041</v>
      </c>
      <c r="E31" s="75">
        <f t="shared" si="1"/>
        <v>0</v>
      </c>
      <c r="F31" s="75">
        <f t="shared" si="2"/>
        <v>0</v>
      </c>
    </row>
    <row r="32" spans="2:6" x14ac:dyDescent="0.25">
      <c r="B32" s="53">
        <v>29</v>
      </c>
      <c r="C32" s="73">
        <f>'Q2 Base'!C32</f>
        <v>10000000</v>
      </c>
      <c r="D32" s="74">
        <f t="shared" si="0"/>
        <v>0.56311230675951029</v>
      </c>
      <c r="E32" s="75">
        <f t="shared" si="1"/>
        <v>5631123.0675951028</v>
      </c>
      <c r="F32" s="75">
        <f t="shared" si="2"/>
        <v>163302568.96025798</v>
      </c>
    </row>
    <row r="33" spans="2:7" x14ac:dyDescent="0.25">
      <c r="B33" s="53">
        <v>30</v>
      </c>
      <c r="C33" s="73">
        <f>'Q2 Base'!C33</f>
        <v>19328585</v>
      </c>
      <c r="D33" s="74">
        <f t="shared" si="0"/>
        <v>0.55207088897991197</v>
      </c>
      <c r="E33" s="75">
        <f t="shared" si="1"/>
        <v>10670749.103673792</v>
      </c>
      <c r="F33" s="75">
        <f t="shared" si="2"/>
        <v>320122473.11021376</v>
      </c>
    </row>
    <row r="35" spans="2:7" x14ac:dyDescent="0.25">
      <c r="D35" s="78" t="s">
        <v>74</v>
      </c>
      <c r="E35" s="75">
        <f>SUM(E4:E34)</f>
        <v>45521496.08875341</v>
      </c>
      <c r="F35" s="75">
        <f>SUM(F4:F34)</f>
        <v>912698301.03716946</v>
      </c>
    </row>
    <row r="36" spans="2:7" s="44" customFormat="1" x14ac:dyDescent="0.25">
      <c r="E36" s="44" t="s">
        <v>40</v>
      </c>
    </row>
    <row r="37" spans="2:7" x14ac:dyDescent="0.25">
      <c r="E37" s="78" t="s">
        <v>75</v>
      </c>
      <c r="F37" s="79">
        <f>F35/E35</f>
        <v>20.049830947069019</v>
      </c>
      <c r="G37" s="45" t="s">
        <v>76</v>
      </c>
    </row>
    <row r="38" spans="2:7" x14ac:dyDescent="0.25">
      <c r="F38" s="44" t="s">
        <v>40</v>
      </c>
      <c r="G38" s="80" t="s">
        <v>40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workbookViewId="0"/>
  </sheetViews>
  <sheetFormatPr defaultRowHeight="15" x14ac:dyDescent="0.25"/>
  <cols>
    <col min="1" max="3" width="9.140625" style="45"/>
    <col min="4" max="4" width="12.28515625" style="45" bestFit="1" customWidth="1"/>
    <col min="5" max="12" width="9.140625" style="45"/>
    <col min="13" max="13" width="9.140625" style="44"/>
    <col min="14" max="16384" width="9.140625" style="45"/>
  </cols>
  <sheetData>
    <row r="1" spans="1:13" x14ac:dyDescent="0.25">
      <c r="B1" s="81" t="s">
        <v>77</v>
      </c>
      <c r="C1" s="82">
        <v>0.02</v>
      </c>
      <c r="D1" s="45">
        <f>2/(1+C1)^20</f>
        <v>1.3459426662161156</v>
      </c>
      <c r="E1" s="83" t="s">
        <v>78</v>
      </c>
      <c r="G1" s="80"/>
    </row>
    <row r="2" spans="1:13" x14ac:dyDescent="0.25">
      <c r="A2" s="45" t="s">
        <v>79</v>
      </c>
      <c r="D2" s="84">
        <f>'Q2 (i)'!E35/D1</f>
        <v>33821274.287060983</v>
      </c>
      <c r="E2" s="45" t="s">
        <v>80</v>
      </c>
      <c r="G2" s="85" t="s">
        <v>173</v>
      </c>
    </row>
    <row r="3" spans="1:13" s="44" customFormat="1" x14ac:dyDescent="0.25"/>
    <row r="5" spans="1:13" x14ac:dyDescent="0.25">
      <c r="A5" s="86" t="s">
        <v>200</v>
      </c>
      <c r="M5" s="87" t="s">
        <v>40</v>
      </c>
    </row>
    <row r="6" spans="1:13" x14ac:dyDescent="0.25">
      <c r="A6" s="86" t="s">
        <v>201</v>
      </c>
      <c r="M6" s="88"/>
    </row>
    <row r="7" spans="1:13" x14ac:dyDescent="0.25">
      <c r="A7" s="86" t="s">
        <v>202</v>
      </c>
      <c r="M7" s="88"/>
    </row>
    <row r="8" spans="1:13" x14ac:dyDescent="0.25">
      <c r="A8" s="86" t="s">
        <v>203</v>
      </c>
      <c r="M8" s="88"/>
    </row>
    <row r="9" spans="1:13" x14ac:dyDescent="0.25">
      <c r="A9" s="86" t="s">
        <v>204</v>
      </c>
    </row>
    <row r="10" spans="1:13" x14ac:dyDescent="0.25">
      <c r="A10" s="45" t="s">
        <v>81</v>
      </c>
      <c r="M10" s="44" t="s">
        <v>40</v>
      </c>
    </row>
    <row r="11" spans="1:13" x14ac:dyDescent="0.25">
      <c r="A11" s="45" t="s">
        <v>82</v>
      </c>
      <c r="M11" s="44" t="s">
        <v>50</v>
      </c>
    </row>
    <row r="12" spans="1:13" x14ac:dyDescent="0.25">
      <c r="A12" s="86" t="s">
        <v>206</v>
      </c>
      <c r="M12" s="44" t="s">
        <v>40</v>
      </c>
    </row>
    <row r="13" spans="1:13" x14ac:dyDescent="0.25">
      <c r="A13" s="45" t="s">
        <v>83</v>
      </c>
      <c r="M13" s="44" t="s">
        <v>50</v>
      </c>
    </row>
    <row r="14" spans="1:13" x14ac:dyDescent="0.25">
      <c r="A14" s="45" t="s">
        <v>84</v>
      </c>
      <c r="M14" s="44" t="s">
        <v>50</v>
      </c>
    </row>
    <row r="15" spans="1:13" x14ac:dyDescent="0.25">
      <c r="A15" s="86" t="s">
        <v>205</v>
      </c>
      <c r="M15" s="89" t="s">
        <v>40</v>
      </c>
    </row>
    <row r="16" spans="1:13" x14ac:dyDescent="0.25">
      <c r="A16" s="45" t="s">
        <v>85</v>
      </c>
      <c r="M16" s="44" t="s">
        <v>50</v>
      </c>
    </row>
    <row r="18" spans="13:13" x14ac:dyDescent="0.25">
      <c r="M18" s="44" t="s">
        <v>86</v>
      </c>
    </row>
  </sheetData>
  <mergeCells count="1">
    <mergeCell ref="M5:M8"/>
  </mergeCells>
  <printOptions gridLines="1" gridLinesSet="0"/>
  <pageMargins left="0.7" right="0.7" top="0.75" bottom="0.75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/>
  </sheetViews>
  <sheetFormatPr defaultRowHeight="15" x14ac:dyDescent="0.25"/>
  <cols>
    <col min="3" max="3" width="14.28515625" bestFit="1" customWidth="1"/>
  </cols>
  <sheetData>
    <row r="1" spans="1:4" x14ac:dyDescent="0.25">
      <c r="A1" t="s">
        <v>59</v>
      </c>
      <c r="B1" t="s">
        <v>110</v>
      </c>
      <c r="C1" s="28">
        <f>'Q2 (i)'!E35</f>
        <v>45521496.08875341</v>
      </c>
    </row>
    <row r="2" spans="1:4" x14ac:dyDescent="0.25">
      <c r="B2" t="s">
        <v>111</v>
      </c>
      <c r="C2" s="16">
        <f>'Q2 (i)'!F37</f>
        <v>20.049830947069019</v>
      </c>
      <c r="D2" t="s">
        <v>76</v>
      </c>
    </row>
    <row r="4" spans="1:4" x14ac:dyDescent="0.25">
      <c r="A4" t="s">
        <v>60</v>
      </c>
      <c r="B4" t="s">
        <v>112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41"/>
  <sheetViews>
    <sheetView topLeftCell="G1" workbookViewId="0">
      <selection activeCell="D5" sqref="D5"/>
    </sheetView>
  </sheetViews>
  <sheetFormatPr defaultRowHeight="15" x14ac:dyDescent="0.25"/>
  <cols>
    <col min="2" max="2" width="31.5703125" customWidth="1"/>
    <col min="3" max="3" width="7.5703125" customWidth="1"/>
    <col min="14" max="14" width="3" customWidth="1"/>
    <col min="15" max="15" width="12.7109375" customWidth="1"/>
    <col min="16" max="16" width="12.28515625" customWidth="1"/>
    <col min="17" max="17" width="9.5703125" customWidth="1"/>
    <col min="18" max="18" width="10.7109375" bestFit="1" customWidth="1"/>
    <col min="19" max="19" width="2.7109375" customWidth="1"/>
    <col min="20" max="20" width="12.85546875" customWidth="1"/>
  </cols>
  <sheetData>
    <row r="1" spans="2:20" x14ac:dyDescent="0.25">
      <c r="O1" s="43" t="s">
        <v>87</v>
      </c>
      <c r="P1" s="43" t="s">
        <v>88</v>
      </c>
      <c r="Q1" s="17"/>
      <c r="R1" s="17"/>
      <c r="T1" s="43" t="s">
        <v>89</v>
      </c>
    </row>
    <row r="2" spans="2:20" ht="15" customHeight="1" x14ac:dyDescent="0.25">
      <c r="B2" s="1" t="s">
        <v>90</v>
      </c>
      <c r="M2" s="1"/>
      <c r="O2" s="43"/>
      <c r="P2" s="43"/>
      <c r="Q2" s="17"/>
      <c r="R2" s="17"/>
      <c r="T2" s="43"/>
    </row>
    <row r="3" spans="2:20" x14ac:dyDescent="0.25">
      <c r="M3" s="1"/>
      <c r="O3" s="43"/>
      <c r="P3" s="43"/>
      <c r="Q3" s="17"/>
      <c r="R3" s="17"/>
      <c r="T3" s="43"/>
    </row>
    <row r="4" spans="2:20" x14ac:dyDescent="0.25">
      <c r="B4" t="s">
        <v>91</v>
      </c>
      <c r="C4">
        <v>38</v>
      </c>
    </row>
    <row r="5" spans="2:20" ht="18.75" x14ac:dyDescent="0.35">
      <c r="B5" t="s">
        <v>92</v>
      </c>
      <c r="C5" s="18">
        <v>1000</v>
      </c>
      <c r="D5" t="s">
        <v>93</v>
      </c>
      <c r="M5" s="19" t="s">
        <v>2</v>
      </c>
      <c r="N5" s="1"/>
      <c r="O5" s="20" t="s">
        <v>94</v>
      </c>
      <c r="P5" s="20" t="s">
        <v>95</v>
      </c>
      <c r="Q5" s="21"/>
      <c r="R5" s="20" t="s">
        <v>1</v>
      </c>
      <c r="T5" s="20" t="s">
        <v>96</v>
      </c>
    </row>
    <row r="6" spans="2:20" x14ac:dyDescent="0.25">
      <c r="C6" s="18"/>
      <c r="D6" t="s">
        <v>97</v>
      </c>
      <c r="M6" s="19">
        <v>35</v>
      </c>
      <c r="N6" s="22"/>
      <c r="O6" s="23">
        <v>7.8589999999999997E-4</v>
      </c>
      <c r="P6" s="23">
        <v>1.261E-3</v>
      </c>
      <c r="Q6" s="17"/>
      <c r="R6" s="24">
        <v>1</v>
      </c>
      <c r="S6" s="17"/>
      <c r="T6" s="25">
        <v>0.01</v>
      </c>
    </row>
    <row r="7" spans="2:20" x14ac:dyDescent="0.25">
      <c r="C7" s="18"/>
      <c r="D7" t="s">
        <v>98</v>
      </c>
      <c r="M7" s="19">
        <v>36</v>
      </c>
      <c r="N7" s="22"/>
      <c r="O7" s="23">
        <v>8.3819999999999999E-4</v>
      </c>
      <c r="P7" s="23">
        <v>1.353E-3</v>
      </c>
      <c r="Q7" s="17"/>
      <c r="R7" s="24">
        <v>2</v>
      </c>
      <c r="S7" s="17"/>
      <c r="T7" s="25">
        <v>0.01</v>
      </c>
    </row>
    <row r="8" spans="2:20" x14ac:dyDescent="0.25">
      <c r="C8" s="18"/>
      <c r="D8" t="s">
        <v>99</v>
      </c>
      <c r="M8" s="19">
        <v>37</v>
      </c>
      <c r="N8" s="22"/>
      <c r="O8" s="23">
        <v>8.964E-4</v>
      </c>
      <c r="P8" s="23">
        <v>1.456E-3</v>
      </c>
      <c r="Q8" s="17"/>
      <c r="R8" s="24">
        <v>3</v>
      </c>
      <c r="S8" s="17"/>
      <c r="T8" s="25">
        <v>0.01</v>
      </c>
    </row>
    <row r="9" spans="2:20" x14ac:dyDescent="0.25">
      <c r="C9" s="18"/>
      <c r="M9" s="19">
        <v>38</v>
      </c>
      <c r="N9" s="22"/>
      <c r="O9" s="23">
        <v>9.6179999999999996E-4</v>
      </c>
      <c r="P9" s="23">
        <v>1.5579999999999999E-3</v>
      </c>
      <c r="Q9" s="17"/>
      <c r="R9" s="24">
        <v>4</v>
      </c>
      <c r="S9" s="17"/>
      <c r="T9" s="25">
        <v>0.02</v>
      </c>
    </row>
    <row r="10" spans="2:20" x14ac:dyDescent="0.25">
      <c r="B10" s="26" t="s">
        <v>100</v>
      </c>
      <c r="C10" s="26"/>
      <c r="M10" s="19">
        <v>39</v>
      </c>
      <c r="N10" s="22"/>
      <c r="O10" s="23">
        <v>1.0351E-3</v>
      </c>
      <c r="P10" s="23">
        <v>1.6609999999999999E-3</v>
      </c>
      <c r="Q10" s="17"/>
      <c r="R10" s="24">
        <v>5</v>
      </c>
      <c r="S10" s="17"/>
      <c r="T10" s="25">
        <v>0.02</v>
      </c>
    </row>
    <row r="11" spans="2:20" x14ac:dyDescent="0.25">
      <c r="C11" s="26"/>
      <c r="M11" s="19">
        <v>40</v>
      </c>
      <c r="N11" s="22"/>
      <c r="O11" s="23">
        <v>1.1165000000000001E-3</v>
      </c>
      <c r="P11" s="23">
        <v>1.7730000000000001E-3</v>
      </c>
      <c r="Q11" s="17"/>
      <c r="R11" s="24">
        <v>6</v>
      </c>
      <c r="S11" s="17"/>
      <c r="T11" s="25">
        <v>0.02</v>
      </c>
    </row>
    <row r="12" spans="2:20" x14ac:dyDescent="0.25">
      <c r="B12" t="s">
        <v>101</v>
      </c>
      <c r="C12" s="11"/>
      <c r="M12" s="19">
        <v>41</v>
      </c>
      <c r="N12" s="22"/>
      <c r="O12" s="23">
        <v>1.2099999999999999E-3</v>
      </c>
      <c r="P12" s="23">
        <v>1.9070000000000001E-3</v>
      </c>
      <c r="Q12" s="17"/>
      <c r="R12" s="24">
        <v>7</v>
      </c>
      <c r="S12" s="17"/>
      <c r="T12" s="25">
        <v>0.03</v>
      </c>
    </row>
    <row r="13" spans="2:20" x14ac:dyDescent="0.25">
      <c r="B13" t="s">
        <v>102</v>
      </c>
      <c r="C13" s="11"/>
      <c r="M13" s="19">
        <v>42</v>
      </c>
      <c r="N13" s="22"/>
      <c r="O13" s="23">
        <v>1.3125000000000001E-3</v>
      </c>
      <c r="P13" s="23">
        <v>2.0600000000000002E-3</v>
      </c>
      <c r="Q13" s="17"/>
      <c r="R13" s="24">
        <v>8</v>
      </c>
      <c r="S13" s="17"/>
      <c r="T13" s="25">
        <v>0.03</v>
      </c>
    </row>
    <row r="14" spans="2:20" x14ac:dyDescent="0.25">
      <c r="C14" s="11"/>
      <c r="M14" s="19">
        <v>43</v>
      </c>
      <c r="N14" s="22"/>
      <c r="O14" s="23">
        <v>1.4291E-3</v>
      </c>
      <c r="P14" s="23">
        <v>2.235E-3</v>
      </c>
      <c r="Q14" s="17"/>
      <c r="R14" s="24">
        <v>9</v>
      </c>
      <c r="S14" s="17"/>
      <c r="T14" s="25">
        <v>0.03</v>
      </c>
    </row>
    <row r="15" spans="2:20" x14ac:dyDescent="0.25">
      <c r="B15" s="1" t="s">
        <v>103</v>
      </c>
      <c r="M15" s="19">
        <v>44</v>
      </c>
      <c r="N15" s="22"/>
      <c r="O15" s="23">
        <v>1.5577E-3</v>
      </c>
      <c r="P15" s="23">
        <v>2.4290000000000002E-3</v>
      </c>
      <c r="Q15" s="17"/>
      <c r="R15" s="24">
        <v>10</v>
      </c>
      <c r="S15" s="17"/>
      <c r="T15" s="25">
        <v>0.04</v>
      </c>
    </row>
    <row r="16" spans="2:20" x14ac:dyDescent="0.25">
      <c r="M16" s="19">
        <v>45</v>
      </c>
      <c r="N16" s="22"/>
      <c r="O16" s="23">
        <v>1.7003999999999999E-3</v>
      </c>
      <c r="P16" s="23">
        <v>2.6340000000000001E-3</v>
      </c>
      <c r="Q16" s="17"/>
      <c r="R16" s="24">
        <v>11</v>
      </c>
      <c r="S16" s="17"/>
      <c r="T16" s="25">
        <v>0.04</v>
      </c>
    </row>
    <row r="17" spans="2:20" x14ac:dyDescent="0.25">
      <c r="B17" t="s">
        <v>104</v>
      </c>
      <c r="F17" t="s">
        <v>105</v>
      </c>
      <c r="M17" s="19">
        <v>46</v>
      </c>
      <c r="N17" s="22"/>
      <c r="O17" s="23">
        <v>1.8582E-3</v>
      </c>
      <c r="P17" s="23">
        <v>2.8389999999999999E-3</v>
      </c>
      <c r="Q17" s="17"/>
      <c r="R17" s="24">
        <v>12</v>
      </c>
      <c r="S17" s="17"/>
      <c r="T17" s="25">
        <v>0.04</v>
      </c>
    </row>
    <row r="18" spans="2:20" x14ac:dyDescent="0.25">
      <c r="B18" t="s">
        <v>106</v>
      </c>
      <c r="C18" s="11"/>
      <c r="M18" s="19">
        <v>47</v>
      </c>
      <c r="N18" s="22"/>
      <c r="O18" s="23">
        <v>2.0311000000000001E-3</v>
      </c>
      <c r="P18" s="23">
        <v>3.065E-3</v>
      </c>
      <c r="Q18" s="17"/>
      <c r="R18" s="24">
        <v>13</v>
      </c>
      <c r="S18" s="17"/>
      <c r="T18" s="25">
        <v>0.05</v>
      </c>
    </row>
    <row r="19" spans="2:20" x14ac:dyDescent="0.25">
      <c r="B19" t="s">
        <v>107</v>
      </c>
      <c r="C19" s="11"/>
      <c r="M19" s="19">
        <v>48</v>
      </c>
      <c r="N19" s="22"/>
      <c r="O19" s="23">
        <v>2.2179999999999999E-3</v>
      </c>
      <c r="P19" s="23">
        <v>3.3110000000000001E-3</v>
      </c>
      <c r="Q19" s="17"/>
      <c r="R19" s="24">
        <v>14</v>
      </c>
      <c r="S19" s="17"/>
      <c r="T19" s="25">
        <v>0.05</v>
      </c>
    </row>
    <row r="20" spans="2:20" x14ac:dyDescent="0.25">
      <c r="B20" t="s">
        <v>108</v>
      </c>
      <c r="C20" s="27">
        <v>5.5E-2</v>
      </c>
      <c r="D20" t="s">
        <v>109</v>
      </c>
      <c r="M20" s="19">
        <v>49</v>
      </c>
      <c r="N20" s="22"/>
      <c r="O20" s="23">
        <v>2.4190000000000001E-3</v>
      </c>
      <c r="P20" s="23">
        <v>3.588E-3</v>
      </c>
      <c r="Q20" s="17"/>
      <c r="R20" s="24">
        <v>15</v>
      </c>
      <c r="S20" s="17"/>
      <c r="T20" s="25">
        <v>0.05</v>
      </c>
    </row>
    <row r="21" spans="2:20" x14ac:dyDescent="0.25">
      <c r="M21" s="19">
        <v>50</v>
      </c>
      <c r="N21" s="22"/>
      <c r="O21" s="23">
        <v>2.6331000000000002E-3</v>
      </c>
      <c r="P21" s="23">
        <v>3.875E-3</v>
      </c>
      <c r="Q21" s="17"/>
      <c r="R21" s="24">
        <v>16</v>
      </c>
      <c r="S21" s="17"/>
      <c r="T21" s="25">
        <v>0.06</v>
      </c>
    </row>
    <row r="22" spans="2:20" x14ac:dyDescent="0.25">
      <c r="M22" s="19">
        <v>51</v>
      </c>
      <c r="N22" s="22"/>
      <c r="O22" s="23">
        <v>2.8571999999999998E-3</v>
      </c>
      <c r="P22" s="23">
        <v>4.2030000000000001E-3</v>
      </c>
      <c r="Q22" s="17"/>
      <c r="R22" s="24">
        <v>17</v>
      </c>
      <c r="S22" s="17"/>
      <c r="T22" s="25">
        <v>0.06</v>
      </c>
    </row>
    <row r="23" spans="2:20" x14ac:dyDescent="0.25">
      <c r="B23" s="26"/>
      <c r="M23" s="19">
        <v>52</v>
      </c>
      <c r="N23" s="22"/>
      <c r="O23" s="23">
        <v>3.0872999999999999E-3</v>
      </c>
      <c r="P23" s="23">
        <v>4.561E-3</v>
      </c>
      <c r="Q23" s="17"/>
      <c r="R23" s="24">
        <v>18</v>
      </c>
      <c r="S23" s="17"/>
      <c r="T23" s="25">
        <v>0.06</v>
      </c>
    </row>
    <row r="24" spans="2:20" x14ac:dyDescent="0.25">
      <c r="M24" s="19">
        <v>53</v>
      </c>
      <c r="N24" s="22"/>
      <c r="O24" s="23">
        <v>3.3205000000000001E-3</v>
      </c>
      <c r="P24" s="23">
        <v>4.9509999999999997E-3</v>
      </c>
      <c r="Q24" s="17"/>
      <c r="R24" s="24">
        <v>19</v>
      </c>
      <c r="S24" s="17"/>
      <c r="T24" s="25">
        <v>7.0000000000000007E-2</v>
      </c>
    </row>
    <row r="25" spans="2:20" x14ac:dyDescent="0.25">
      <c r="M25" s="19">
        <v>54</v>
      </c>
      <c r="N25" s="22"/>
      <c r="O25" s="23">
        <v>3.5536999999999999E-3</v>
      </c>
      <c r="P25" s="23">
        <v>5.3709999999999999E-3</v>
      </c>
      <c r="Q25" s="17"/>
      <c r="R25" s="24">
        <v>20</v>
      </c>
      <c r="S25" s="17"/>
      <c r="T25" s="25">
        <v>7.0000000000000007E-2</v>
      </c>
    </row>
    <row r="26" spans="2:20" x14ac:dyDescent="0.25">
      <c r="M26" s="19">
        <v>55</v>
      </c>
      <c r="N26" s="22"/>
      <c r="O26" s="23">
        <v>3.7797999999999998E-3</v>
      </c>
      <c r="P26" s="23">
        <v>5.7910000000000001E-3</v>
      </c>
      <c r="Q26" s="17"/>
      <c r="R26" s="24">
        <v>21</v>
      </c>
      <c r="S26" s="17"/>
      <c r="T26" s="25">
        <v>7.0000000000000007E-2</v>
      </c>
    </row>
    <row r="27" spans="2:20" x14ac:dyDescent="0.25">
      <c r="M27" s="19">
        <v>56</v>
      </c>
      <c r="N27" s="22"/>
      <c r="O27" s="23">
        <v>3.9908000000000001E-3</v>
      </c>
      <c r="P27" s="23">
        <v>6.2220000000000001E-3</v>
      </c>
      <c r="Q27" s="17"/>
      <c r="R27" s="24">
        <v>22</v>
      </c>
      <c r="S27" s="17"/>
      <c r="T27" s="25">
        <v>0.08</v>
      </c>
    </row>
    <row r="28" spans="2:20" x14ac:dyDescent="0.25">
      <c r="M28" s="19">
        <v>57</v>
      </c>
      <c r="N28" s="22"/>
      <c r="O28" s="23">
        <v>4.1808000000000001E-3</v>
      </c>
      <c r="P28" s="23">
        <v>6.6730000000000001E-3</v>
      </c>
      <c r="Q28" s="17"/>
      <c r="R28" s="24">
        <v>23</v>
      </c>
      <c r="S28" s="17"/>
      <c r="T28" s="25">
        <v>0.08</v>
      </c>
    </row>
    <row r="29" spans="2:20" x14ac:dyDescent="0.25">
      <c r="M29" s="19">
        <v>58</v>
      </c>
      <c r="N29" s="22"/>
      <c r="O29" s="23">
        <v>4.3375999999999996E-3</v>
      </c>
      <c r="P29" s="23">
        <v>7.1339999999999997E-3</v>
      </c>
      <c r="Q29" s="17"/>
      <c r="R29" s="24">
        <v>24</v>
      </c>
      <c r="S29" s="17"/>
      <c r="T29" s="25">
        <v>0.08</v>
      </c>
    </row>
    <row r="30" spans="2:20" x14ac:dyDescent="0.25">
      <c r="M30" s="19">
        <v>59</v>
      </c>
      <c r="N30" s="22"/>
      <c r="O30" s="23">
        <v>4.4470999999999998E-3</v>
      </c>
      <c r="P30" s="23">
        <v>7.6880000000000004E-3</v>
      </c>
      <c r="Q30" s="17"/>
      <c r="R30" s="24">
        <v>25</v>
      </c>
      <c r="S30" s="17"/>
      <c r="T30" s="25">
        <v>0.09</v>
      </c>
    </row>
    <row r="31" spans="2:20" x14ac:dyDescent="0.25">
      <c r="M31" s="19">
        <v>60</v>
      </c>
      <c r="N31" s="22"/>
      <c r="O31" s="23">
        <v>4.5656999999999998E-3</v>
      </c>
      <c r="P31" s="23">
        <v>8.2819999999999994E-3</v>
      </c>
      <c r="Q31" s="17"/>
      <c r="R31" s="24">
        <v>26</v>
      </c>
      <c r="S31" s="17"/>
      <c r="T31" s="25">
        <v>0.09</v>
      </c>
    </row>
    <row r="32" spans="2:20" x14ac:dyDescent="0.25">
      <c r="M32" s="19">
        <v>61</v>
      </c>
      <c r="N32" s="22"/>
      <c r="O32" s="23">
        <v>4.7686999999999998E-3</v>
      </c>
      <c r="P32" s="23">
        <v>8.9789999999999991E-3</v>
      </c>
      <c r="Q32" s="17"/>
      <c r="R32" s="24">
        <v>27</v>
      </c>
      <c r="S32" s="17"/>
      <c r="T32" s="25">
        <v>0.09</v>
      </c>
    </row>
    <row r="33" spans="13:20" x14ac:dyDescent="0.25">
      <c r="M33" s="19">
        <v>62</v>
      </c>
      <c r="N33" s="22"/>
      <c r="O33" s="23">
        <v>5.0309999999999999E-3</v>
      </c>
      <c r="P33" s="23">
        <v>9.8300000000000002E-3</v>
      </c>
      <c r="Q33" s="17"/>
      <c r="R33" s="24">
        <v>28</v>
      </c>
      <c r="S33" s="17"/>
      <c r="T33" s="25">
        <v>0.1</v>
      </c>
    </row>
    <row r="34" spans="13:20" x14ac:dyDescent="0.25">
      <c r="M34" s="19">
        <v>63</v>
      </c>
      <c r="N34" s="22"/>
      <c r="O34" s="23">
        <v>5.3596E-3</v>
      </c>
      <c r="P34" s="23">
        <v>1.0773E-2</v>
      </c>
      <c r="Q34" s="17"/>
      <c r="R34" s="24">
        <v>29</v>
      </c>
      <c r="S34" s="17"/>
      <c r="T34" s="25">
        <v>0.1</v>
      </c>
    </row>
    <row r="35" spans="13:20" x14ac:dyDescent="0.25">
      <c r="M35" s="19">
        <v>64</v>
      </c>
      <c r="N35" s="22"/>
      <c r="O35" s="23">
        <v>5.7637000000000001E-3</v>
      </c>
      <c r="P35" s="23">
        <v>1.1797999999999999E-2</v>
      </c>
      <c r="Q35" s="17"/>
      <c r="R35" s="24">
        <v>30</v>
      </c>
      <c r="S35" s="17"/>
      <c r="T35" s="25">
        <v>0.1</v>
      </c>
    </row>
    <row r="36" spans="13:20" x14ac:dyDescent="0.25">
      <c r="M36" s="19">
        <v>65</v>
      </c>
      <c r="N36" s="22"/>
      <c r="O36" s="23">
        <v>6.2521E-3</v>
      </c>
      <c r="P36" s="23">
        <v>1.2936E-2</v>
      </c>
      <c r="Q36" s="17"/>
      <c r="R36" s="17"/>
      <c r="S36" s="17"/>
    </row>
    <row r="37" spans="13:20" x14ac:dyDescent="0.25">
      <c r="M37" s="19">
        <v>66</v>
      </c>
      <c r="N37" s="22"/>
      <c r="O37" s="23">
        <v>6.8279999999999999E-3</v>
      </c>
      <c r="P37" s="23">
        <v>1.2678999999999999E-2</v>
      </c>
      <c r="Q37" s="17"/>
      <c r="R37" s="17"/>
      <c r="S37" s="17"/>
    </row>
    <row r="38" spans="13:20" x14ac:dyDescent="0.25">
      <c r="M38" s="19">
        <v>67</v>
      </c>
      <c r="N38" s="22"/>
      <c r="O38" s="23">
        <v>7.4973000000000001E-3</v>
      </c>
      <c r="P38" s="23">
        <v>1.4063000000000001E-2</v>
      </c>
      <c r="Q38" s="17"/>
      <c r="R38" s="17"/>
      <c r="S38" s="17"/>
    </row>
    <row r="39" spans="13:20" x14ac:dyDescent="0.25">
      <c r="M39" s="19">
        <v>68</v>
      </c>
      <c r="N39" s="22"/>
      <c r="O39" s="23">
        <v>8.2661000000000002E-3</v>
      </c>
      <c r="P39" s="23">
        <v>1.5651999999999999E-2</v>
      </c>
      <c r="Q39" s="17"/>
      <c r="R39" s="17"/>
      <c r="S39" s="17"/>
    </row>
    <row r="40" spans="13:20" x14ac:dyDescent="0.25">
      <c r="M40" s="19">
        <v>69</v>
      </c>
      <c r="N40" s="22"/>
      <c r="O40" s="23">
        <v>9.1363999999999994E-3</v>
      </c>
      <c r="P40" s="23">
        <v>1.7465999999999999E-2</v>
      </c>
      <c r="Q40" s="17"/>
      <c r="R40" s="17"/>
      <c r="S40" s="17"/>
    </row>
    <row r="41" spans="13:20" x14ac:dyDescent="0.25">
      <c r="M41" s="19">
        <v>70</v>
      </c>
      <c r="N41" s="22"/>
      <c r="O41" s="23">
        <v>1.01143E-2</v>
      </c>
      <c r="P41" s="23">
        <v>1.9629000000000001E-2</v>
      </c>
      <c r="Q41" s="17"/>
      <c r="R41" s="17"/>
      <c r="S41" s="17"/>
    </row>
  </sheetData>
  <mergeCells count="3">
    <mergeCell ref="O1:O3"/>
    <mergeCell ref="P1:P3"/>
    <mergeCell ref="T1:T3"/>
  </mergeCells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95246E-09BF-4074-A72F-D924399BC74D}"/>
</file>

<file path=customXml/itemProps2.xml><?xml version="1.0" encoding="utf-8"?>
<ds:datastoreItem xmlns:ds="http://schemas.openxmlformats.org/officeDocument/2006/customXml" ds:itemID="{0B87DC6F-F30B-4B84-A37D-B54F371E4C4E}"/>
</file>

<file path=customXml/itemProps3.xml><?xml version="1.0" encoding="utf-8"?>
<ds:datastoreItem xmlns:ds="http://schemas.openxmlformats.org/officeDocument/2006/customXml" ds:itemID="{B99EF325-A5BB-46F9-BCEE-6BB349EB5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Q1 Base</vt:lpstr>
      <vt:lpstr>Q1 (i)</vt:lpstr>
      <vt:lpstr>Q1 (ii)</vt:lpstr>
      <vt:lpstr>Q1 Answers</vt:lpstr>
      <vt:lpstr>Q2 Base</vt:lpstr>
      <vt:lpstr>Q2 (i)</vt:lpstr>
      <vt:lpstr>Q2 (ii)</vt:lpstr>
      <vt:lpstr>Q2 Answers</vt:lpstr>
      <vt:lpstr>Q3 Base</vt:lpstr>
      <vt:lpstr>Q3 (i)</vt:lpstr>
      <vt:lpstr>Q3 (ii)</vt:lpstr>
      <vt:lpstr>Q3 (iii)</vt:lpstr>
      <vt:lpstr>Q3 Answers</vt:lpstr>
      <vt:lpstr>Q4 Base</vt:lpstr>
      <vt:lpstr>Q4 (i)</vt:lpstr>
      <vt:lpstr>Q4 (ii)</vt:lpstr>
      <vt:lpstr>Q4 Answers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Atherton</dc:creator>
  <cp:lastModifiedBy>Steve Laye</cp:lastModifiedBy>
  <cp:lastPrinted>2025-04-17T06:27:40Z</cp:lastPrinted>
  <dcterms:created xsi:type="dcterms:W3CDTF">2025-04-16T13:23:32Z</dcterms:created>
  <dcterms:modified xsi:type="dcterms:W3CDTF">2025-06-23T06:52:43Z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