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cuments\CM1\2024-04\B\"/>
    </mc:Choice>
  </mc:AlternateContent>
  <xr:revisionPtr revIDLastSave="0" documentId="13_ncr:1_{9C79927C-28A5-46DD-893D-3A7F7697607F}" xr6:coauthVersionLast="47" xr6:coauthVersionMax="47" xr10:uidLastSave="{00000000-0000-0000-0000-000000000000}"/>
  <bookViews>
    <workbookView xWindow="20370" yWindow="-120" windowWidth="21840" windowHeight="13140" xr2:uid="{801F8B12-6C45-460D-B2F7-656EFECF5BC9}"/>
  </bookViews>
  <sheets>
    <sheet name="Q1 Base" sheetId="8" r:id="rId1"/>
    <sheet name="Q1 (i) (ii) (iii)" sheetId="7" r:id="rId2"/>
    <sheet name="Q1 (iv)" sheetId="9" r:id="rId3"/>
    <sheet name="Q1 Answers" sheetId="20" r:id="rId4"/>
    <sheet name="Q2 (i)" sheetId="6" r:id="rId5"/>
    <sheet name="Q2 (ii) and (iii)" sheetId="24" r:id="rId6"/>
    <sheet name="Q2 Answers" sheetId="14" r:id="rId7"/>
    <sheet name="Q3 Base" sheetId="1" r:id="rId8"/>
    <sheet name="Q3 (i) and (ii)" sheetId="18" r:id="rId9"/>
    <sheet name="Q3 (iii)" sheetId="4" r:id="rId10"/>
    <sheet name="Q3 Answers" sheetId="13" r:id="rId11"/>
    <sheet name="Q4 Base" sheetId="12" r:id="rId12"/>
    <sheet name="Q4 (i)" sheetId="23" r:id="rId13"/>
    <sheet name="Q4 (ii)" sheetId="21" r:id="rId14"/>
    <sheet name="Q4 (iii)" sheetId="22" r:id="rId15"/>
    <sheet name="Q4 (iv)" sheetId="11" r:id="rId16"/>
    <sheet name="Q4 Answers" sheetId="19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7" l="1"/>
  <c r="M8" i="7" s="1"/>
  <c r="M9" i="7" s="1"/>
  <c r="M10" i="7" s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6" i="7"/>
  <c r="M5" i="7"/>
  <c r="M3" i="7"/>
  <c r="K26" i="24" l="1"/>
  <c r="S10" i="18"/>
  <c r="T10" i="18" s="1"/>
  <c r="P38" i="18"/>
  <c r="P37" i="18" s="1"/>
  <c r="P36" i="18" s="1"/>
  <c r="P35" i="18" s="1"/>
  <c r="P34" i="18" s="1"/>
  <c r="P33" i="18" s="1"/>
  <c r="P32" i="18" s="1"/>
  <c r="P31" i="18" s="1"/>
  <c r="P30" i="18" s="1"/>
  <c r="P29" i="18" s="1"/>
  <c r="P28" i="18" s="1"/>
  <c r="P27" i="18" s="1"/>
  <c r="P26" i="18" s="1"/>
  <c r="P25" i="18" s="1"/>
  <c r="P24" i="18" s="1"/>
  <c r="P23" i="18" s="1"/>
  <c r="P22" i="18" s="1"/>
  <c r="P21" i="18" s="1"/>
  <c r="P20" i="18" s="1"/>
  <c r="P19" i="18" s="1"/>
  <c r="P18" i="18" s="1"/>
  <c r="P17" i="18" s="1"/>
  <c r="P16" i="18" s="1"/>
  <c r="P15" i="18" s="1"/>
  <c r="P14" i="18" s="1"/>
  <c r="P13" i="18" s="1"/>
  <c r="P12" i="18" s="1"/>
  <c r="P11" i="18" s="1"/>
  <c r="P10" i="18" s="1"/>
  <c r="P39" i="18"/>
  <c r="O8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10" i="18"/>
  <c r="K6" i="24"/>
  <c r="K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5" i="24"/>
  <c r="J24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5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6" i="24"/>
  <c r="H5" i="24"/>
  <c r="D8" i="6" l="1"/>
  <c r="E8" i="6" l="1"/>
  <c r="G3" i="19" l="1"/>
  <c r="D5" i="22"/>
  <c r="O5" i="22" s="1"/>
  <c r="D6" i="22"/>
  <c r="O6" i="22" s="1"/>
  <c r="D7" i="22"/>
  <c r="E7" i="22" s="1"/>
  <c r="F7" i="22" s="1"/>
  <c r="M7" i="22" s="1"/>
  <c r="D8" i="22"/>
  <c r="E8" i="22" s="1"/>
  <c r="D9" i="22"/>
  <c r="O9" i="22" s="1"/>
  <c r="D10" i="22"/>
  <c r="E10" i="22" s="1"/>
  <c r="F10" i="22" s="1"/>
  <c r="M10" i="22" s="1"/>
  <c r="D11" i="22"/>
  <c r="E11" i="22" s="1"/>
  <c r="F11" i="22" s="1"/>
  <c r="M11" i="22" s="1"/>
  <c r="D12" i="22"/>
  <c r="E12" i="22" s="1"/>
  <c r="D13" i="22"/>
  <c r="O13" i="22" s="1"/>
  <c r="D14" i="22"/>
  <c r="O14" i="22" s="1"/>
  <c r="D15" i="22"/>
  <c r="E15" i="22" s="1"/>
  <c r="F15" i="22" s="1"/>
  <c r="M15" i="22" s="1"/>
  <c r="D16" i="22"/>
  <c r="E16" i="22" s="1"/>
  <c r="D17" i="22"/>
  <c r="O17" i="22" s="1"/>
  <c r="D18" i="22"/>
  <c r="E18" i="22" s="1"/>
  <c r="F18" i="22" s="1"/>
  <c r="M18" i="22" s="1"/>
  <c r="D19" i="22"/>
  <c r="E19" i="22" s="1"/>
  <c r="F19" i="22" s="1"/>
  <c r="M19" i="22" s="1"/>
  <c r="D20" i="22"/>
  <c r="E20" i="22" s="1"/>
  <c r="D21" i="22"/>
  <c r="O21" i="22" s="1"/>
  <c r="D22" i="22"/>
  <c r="O22" i="22" s="1"/>
  <c r="D23" i="22"/>
  <c r="E23" i="22" s="1"/>
  <c r="F23" i="22" s="1"/>
  <c r="M23" i="22" s="1"/>
  <c r="D4" i="22"/>
  <c r="E4" i="22" s="1"/>
  <c r="G24" i="24"/>
  <c r="G23" i="24"/>
  <c r="G22" i="24"/>
  <c r="G21" i="24"/>
  <c r="G20" i="24"/>
  <c r="G19" i="24"/>
  <c r="G18" i="24"/>
  <c r="G17" i="24"/>
  <c r="G16" i="24"/>
  <c r="F16" i="24"/>
  <c r="F17" i="24" s="1"/>
  <c r="F18" i="24" s="1"/>
  <c r="F19" i="24" s="1"/>
  <c r="F20" i="24" s="1"/>
  <c r="F21" i="24" s="1"/>
  <c r="F22" i="24" s="1"/>
  <c r="F23" i="24" s="1"/>
  <c r="F24" i="24" s="1"/>
  <c r="G15" i="24"/>
  <c r="G14" i="24"/>
  <c r="G13" i="24"/>
  <c r="G12" i="24"/>
  <c r="G11" i="24"/>
  <c r="G10" i="24"/>
  <c r="G9" i="24"/>
  <c r="G8" i="24"/>
  <c r="G7" i="24"/>
  <c r="G6" i="24"/>
  <c r="F6" i="24"/>
  <c r="F7" i="24" s="1"/>
  <c r="F8" i="24" s="1"/>
  <c r="F9" i="24" s="1"/>
  <c r="F10" i="24" s="1"/>
  <c r="F11" i="24" s="1"/>
  <c r="F12" i="24" s="1"/>
  <c r="F13" i="24" s="1"/>
  <c r="F14" i="24" s="1"/>
  <c r="G5" i="24"/>
  <c r="O18" i="22" l="1"/>
  <c r="O10" i="22"/>
  <c r="O7" i="22"/>
  <c r="O11" i="22"/>
  <c r="O15" i="22"/>
  <c r="O19" i="22"/>
  <c r="O23" i="22"/>
  <c r="O4" i="22"/>
  <c r="O8" i="22"/>
  <c r="O12" i="22"/>
  <c r="O16" i="22"/>
  <c r="O20" i="22"/>
  <c r="F4" i="22"/>
  <c r="M4" i="22" s="1"/>
  <c r="L4" i="22"/>
  <c r="F16" i="22"/>
  <c r="M16" i="22" s="1"/>
  <c r="L16" i="22"/>
  <c r="F8" i="22"/>
  <c r="M8" i="22" s="1"/>
  <c r="L8" i="22"/>
  <c r="L20" i="22"/>
  <c r="F20" i="22"/>
  <c r="M20" i="22" s="1"/>
  <c r="F12" i="22"/>
  <c r="M12" i="22" s="1"/>
  <c r="L12" i="22"/>
  <c r="E14" i="22"/>
  <c r="F14" i="22" s="1"/>
  <c r="M14" i="22" s="1"/>
  <c r="E21" i="22"/>
  <c r="F21" i="22" s="1"/>
  <c r="M21" i="22" s="1"/>
  <c r="E17" i="22"/>
  <c r="F17" i="22" s="1"/>
  <c r="M17" i="22" s="1"/>
  <c r="E13" i="22"/>
  <c r="F13" i="22" s="1"/>
  <c r="M13" i="22" s="1"/>
  <c r="E9" i="22"/>
  <c r="F9" i="22" s="1"/>
  <c r="M9" i="22" s="1"/>
  <c r="E5" i="22"/>
  <c r="F5" i="22" s="1"/>
  <c r="M5" i="22" s="1"/>
  <c r="L23" i="22"/>
  <c r="L19" i="22"/>
  <c r="L15" i="22"/>
  <c r="L11" i="22"/>
  <c r="L7" i="22"/>
  <c r="E22" i="22"/>
  <c r="F22" i="22" s="1"/>
  <c r="M22" i="22" s="1"/>
  <c r="E6" i="22"/>
  <c r="F6" i="22" s="1"/>
  <c r="M6" i="22" s="1"/>
  <c r="L18" i="22"/>
  <c r="L10" i="22"/>
  <c r="D23" i="23"/>
  <c r="E23" i="23" s="1"/>
  <c r="D22" i="23"/>
  <c r="D21" i="23"/>
  <c r="D20" i="23"/>
  <c r="E20" i="23" s="1"/>
  <c r="D19" i="23"/>
  <c r="E19" i="23" s="1"/>
  <c r="D18" i="23"/>
  <c r="E18" i="23" s="1"/>
  <c r="D17" i="23"/>
  <c r="E17" i="23" s="1"/>
  <c r="D16" i="23"/>
  <c r="E16" i="23" s="1"/>
  <c r="D15" i="23"/>
  <c r="E15" i="23" s="1"/>
  <c r="D14" i="23"/>
  <c r="E14" i="23" s="1"/>
  <c r="D13" i="23"/>
  <c r="E13" i="23" s="1"/>
  <c r="D12" i="23"/>
  <c r="E12" i="23" s="1"/>
  <c r="D11" i="23"/>
  <c r="E11" i="23" s="1"/>
  <c r="D10" i="23"/>
  <c r="E10" i="23" s="1"/>
  <c r="D9" i="23"/>
  <c r="E9" i="23" s="1"/>
  <c r="D8" i="23"/>
  <c r="E8" i="23" s="1"/>
  <c r="D7" i="23"/>
  <c r="E7" i="23" s="1"/>
  <c r="D6" i="23"/>
  <c r="E6" i="23" s="1"/>
  <c r="D5" i="23"/>
  <c r="E5" i="23" s="1"/>
  <c r="D4" i="23"/>
  <c r="Y23" i="22"/>
  <c r="N23" i="22"/>
  <c r="Y22" i="22"/>
  <c r="N22" i="22"/>
  <c r="Y21" i="22"/>
  <c r="N21" i="22"/>
  <c r="Y20" i="22"/>
  <c r="N20" i="22"/>
  <c r="Y19" i="22"/>
  <c r="N19" i="22"/>
  <c r="Y18" i="22"/>
  <c r="N18" i="22"/>
  <c r="Y17" i="22"/>
  <c r="N17" i="22"/>
  <c r="Y16" i="22"/>
  <c r="N16" i="22"/>
  <c r="Y15" i="22"/>
  <c r="N15" i="22"/>
  <c r="Y14" i="22"/>
  <c r="N14" i="22"/>
  <c r="Y13" i="22"/>
  <c r="N13" i="22"/>
  <c r="Y12" i="22"/>
  <c r="N12" i="22"/>
  <c r="Y11" i="22"/>
  <c r="N11" i="22"/>
  <c r="Y10" i="22"/>
  <c r="N10" i="22"/>
  <c r="Y9" i="22"/>
  <c r="N9" i="22"/>
  <c r="Y8" i="22"/>
  <c r="N8" i="22"/>
  <c r="Y7" i="22"/>
  <c r="N7" i="22"/>
  <c r="Y6" i="22"/>
  <c r="N6" i="22"/>
  <c r="Y5" i="22"/>
  <c r="N5" i="22"/>
  <c r="Y4" i="22"/>
  <c r="N4" i="22"/>
  <c r="D23" i="21"/>
  <c r="F23" i="21" s="1"/>
  <c r="C23" i="21"/>
  <c r="E23" i="21" s="1"/>
  <c r="D22" i="21"/>
  <c r="F22" i="21" s="1"/>
  <c r="C22" i="21"/>
  <c r="E22" i="21" s="1"/>
  <c r="D21" i="21"/>
  <c r="F21" i="21" s="1"/>
  <c r="C21" i="21"/>
  <c r="E21" i="21" s="1"/>
  <c r="D20" i="21"/>
  <c r="F20" i="21" s="1"/>
  <c r="C20" i="21"/>
  <c r="E20" i="21" s="1"/>
  <c r="D19" i="21"/>
  <c r="F19" i="21" s="1"/>
  <c r="C19" i="21"/>
  <c r="E19" i="21" s="1"/>
  <c r="D18" i="21"/>
  <c r="F18" i="21" s="1"/>
  <c r="C18" i="21"/>
  <c r="E18" i="21" s="1"/>
  <c r="D17" i="21"/>
  <c r="F17" i="21" s="1"/>
  <c r="C17" i="21"/>
  <c r="E17" i="21" s="1"/>
  <c r="D16" i="21"/>
  <c r="F16" i="21" s="1"/>
  <c r="C16" i="21"/>
  <c r="E16" i="21" s="1"/>
  <c r="D15" i="21"/>
  <c r="F15" i="21" s="1"/>
  <c r="C15" i="21"/>
  <c r="E15" i="21" s="1"/>
  <c r="D14" i="21"/>
  <c r="F14" i="21" s="1"/>
  <c r="C14" i="21"/>
  <c r="E14" i="21" s="1"/>
  <c r="D13" i="21"/>
  <c r="F13" i="21" s="1"/>
  <c r="C13" i="21"/>
  <c r="E13" i="21" s="1"/>
  <c r="D12" i="21"/>
  <c r="F12" i="21" s="1"/>
  <c r="C12" i="21"/>
  <c r="E12" i="21" s="1"/>
  <c r="D11" i="21"/>
  <c r="F11" i="21" s="1"/>
  <c r="G11" i="21" s="1"/>
  <c r="C11" i="21"/>
  <c r="E11" i="21" s="1"/>
  <c r="D10" i="21"/>
  <c r="F10" i="21" s="1"/>
  <c r="C10" i="21"/>
  <c r="E10" i="21" s="1"/>
  <c r="D9" i="21"/>
  <c r="F9" i="21" s="1"/>
  <c r="C9" i="21"/>
  <c r="E9" i="21" s="1"/>
  <c r="D8" i="21"/>
  <c r="F8" i="21" s="1"/>
  <c r="C8" i="21"/>
  <c r="E8" i="21" s="1"/>
  <c r="D7" i="21"/>
  <c r="F7" i="21" s="1"/>
  <c r="G7" i="21" s="1"/>
  <c r="C7" i="21"/>
  <c r="E7" i="21" s="1"/>
  <c r="D6" i="21"/>
  <c r="F6" i="21" s="1"/>
  <c r="C6" i="21"/>
  <c r="E6" i="21" s="1"/>
  <c r="F5" i="21"/>
  <c r="D5" i="21"/>
  <c r="C5" i="21"/>
  <c r="E5" i="21" s="1"/>
  <c r="J4" i="21"/>
  <c r="X4" i="22" s="1"/>
  <c r="D4" i="21"/>
  <c r="F4" i="21" s="1"/>
  <c r="C4" i="21"/>
  <c r="E4" i="21" s="1"/>
  <c r="D6" i="20"/>
  <c r="C6" i="20"/>
  <c r="D2" i="20"/>
  <c r="C2" i="20"/>
  <c r="G13" i="21" l="1"/>
  <c r="L5" i="22"/>
  <c r="L22" i="22"/>
  <c r="L17" i="22"/>
  <c r="L21" i="22"/>
  <c r="G4" i="22"/>
  <c r="H4" i="22" s="1"/>
  <c r="L9" i="22"/>
  <c r="L6" i="22"/>
  <c r="L13" i="22"/>
  <c r="L14" i="22"/>
  <c r="F5" i="23"/>
  <c r="F9" i="23"/>
  <c r="F13" i="23"/>
  <c r="F17" i="23"/>
  <c r="F8" i="23"/>
  <c r="F12" i="23"/>
  <c r="F20" i="23"/>
  <c r="F6" i="23"/>
  <c r="F10" i="23"/>
  <c r="F14" i="23"/>
  <c r="F18" i="23"/>
  <c r="F16" i="23"/>
  <c r="F11" i="23"/>
  <c r="F15" i="23"/>
  <c r="F19" i="23"/>
  <c r="F23" i="23"/>
  <c r="G14" i="21"/>
  <c r="H14" i="21" s="1"/>
  <c r="G18" i="21"/>
  <c r="H18" i="21" s="1"/>
  <c r="E22" i="23"/>
  <c r="E4" i="23"/>
  <c r="F7" i="23"/>
  <c r="E21" i="23"/>
  <c r="G17" i="21"/>
  <c r="I17" i="21" s="1"/>
  <c r="G19" i="21"/>
  <c r="I19" i="21" s="1"/>
  <c r="G9" i="21"/>
  <c r="I9" i="21" s="1"/>
  <c r="H13" i="21"/>
  <c r="I13" i="21"/>
  <c r="G4" i="21"/>
  <c r="J5" i="21" s="1"/>
  <c r="X5" i="22" s="1"/>
  <c r="G6" i="21"/>
  <c r="G5" i="21"/>
  <c r="G8" i="21"/>
  <c r="G21" i="21"/>
  <c r="H21" i="21"/>
  <c r="H7" i="21"/>
  <c r="G10" i="21"/>
  <c r="I10" i="21" s="1"/>
  <c r="I11" i="21"/>
  <c r="G12" i="21"/>
  <c r="H12" i="21" s="1"/>
  <c r="G23" i="21"/>
  <c r="I7" i="21"/>
  <c r="H10" i="21"/>
  <c r="H11" i="21"/>
  <c r="G15" i="21"/>
  <c r="I21" i="21"/>
  <c r="G16" i="21"/>
  <c r="H16" i="21" s="1"/>
  <c r="G22" i="21"/>
  <c r="H15" i="21"/>
  <c r="G20" i="21"/>
  <c r="H20" i="21" s="1"/>
  <c r="I18" i="21"/>
  <c r="M8" i="18"/>
  <c r="M14" i="18" s="1"/>
  <c r="K11" i="18"/>
  <c r="K12" i="18"/>
  <c r="K13" i="18"/>
  <c r="K14" i="18"/>
  <c r="K15" i="18"/>
  <c r="K16" i="18"/>
  <c r="K17" i="18"/>
  <c r="K18" i="18"/>
  <c r="K19" i="18"/>
  <c r="K20" i="18"/>
  <c r="K21" i="18"/>
  <c r="K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10" i="18"/>
  <c r="L10" i="18" s="1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10" i="18"/>
  <c r="B10" i="18"/>
  <c r="C2" i="13" s="1"/>
  <c r="B4" i="18"/>
  <c r="B5" i="18" s="1"/>
  <c r="C7" i="18" s="1"/>
  <c r="F4" i="18" s="1"/>
  <c r="C10" i="18" s="1"/>
  <c r="V4" i="22" l="1"/>
  <c r="U4" i="22"/>
  <c r="H23" i="21"/>
  <c r="H17" i="21"/>
  <c r="H19" i="21"/>
  <c r="R19" i="22" s="1"/>
  <c r="I4" i="22"/>
  <c r="C5" i="22" s="1"/>
  <c r="G5" i="22" s="1"/>
  <c r="H5" i="22" s="1"/>
  <c r="U5" i="22" s="1"/>
  <c r="F22" i="23"/>
  <c r="F21" i="23"/>
  <c r="T19" i="22"/>
  <c r="E18" i="19"/>
  <c r="T18" i="22"/>
  <c r="E17" i="19"/>
  <c r="I14" i="21"/>
  <c r="T21" i="22"/>
  <c r="E20" i="19"/>
  <c r="H9" i="21"/>
  <c r="R12" i="22"/>
  <c r="D11" i="19"/>
  <c r="R21" i="22"/>
  <c r="D20" i="19"/>
  <c r="I4" i="21"/>
  <c r="T13" i="22"/>
  <c r="E12" i="19"/>
  <c r="R17" i="22"/>
  <c r="D16" i="19"/>
  <c r="R15" i="22"/>
  <c r="D14" i="19"/>
  <c r="R10" i="22"/>
  <c r="D9" i="19"/>
  <c r="R18" i="22"/>
  <c r="D17" i="19"/>
  <c r="R7" i="22"/>
  <c r="D6" i="19"/>
  <c r="J6" i="21"/>
  <c r="X6" i="22" s="1"/>
  <c r="I23" i="21"/>
  <c r="T7" i="22"/>
  <c r="E6" i="19"/>
  <c r="T11" i="22"/>
  <c r="E10" i="19"/>
  <c r="R13" i="22"/>
  <c r="D12" i="19"/>
  <c r="T17" i="22"/>
  <c r="E16" i="19"/>
  <c r="R16" i="22"/>
  <c r="D15" i="19"/>
  <c r="R20" i="22"/>
  <c r="D19" i="19"/>
  <c r="R11" i="22"/>
  <c r="D10" i="19"/>
  <c r="R23" i="22"/>
  <c r="D22" i="19"/>
  <c r="T10" i="22"/>
  <c r="E9" i="19"/>
  <c r="H4" i="21"/>
  <c r="T9" i="22"/>
  <c r="E8" i="19"/>
  <c r="R14" i="22"/>
  <c r="D13" i="19"/>
  <c r="F4" i="23"/>
  <c r="I8" i="21"/>
  <c r="H5" i="21"/>
  <c r="I12" i="21"/>
  <c r="I5" i="21"/>
  <c r="H22" i="21"/>
  <c r="H8" i="21"/>
  <c r="J7" i="21"/>
  <c r="X7" i="22" s="1"/>
  <c r="I20" i="21"/>
  <c r="I16" i="21"/>
  <c r="I22" i="21"/>
  <c r="I15" i="21"/>
  <c r="H6" i="21"/>
  <c r="I6" i="21"/>
  <c r="L19" i="18"/>
  <c r="L15" i="18"/>
  <c r="D10" i="18"/>
  <c r="Q10" i="18"/>
  <c r="L22" i="18"/>
  <c r="L18" i="18"/>
  <c r="L21" i="18"/>
  <c r="L17" i="18"/>
  <c r="L13" i="18"/>
  <c r="L20" i="18"/>
  <c r="L16" i="18"/>
  <c r="L12" i="18"/>
  <c r="L14" i="18"/>
  <c r="C14" i="18"/>
  <c r="C18" i="18"/>
  <c r="C22" i="18"/>
  <c r="C26" i="18"/>
  <c r="C30" i="18"/>
  <c r="C34" i="18"/>
  <c r="C38" i="18"/>
  <c r="C11" i="18"/>
  <c r="C15" i="18"/>
  <c r="C19" i="18"/>
  <c r="C23" i="18"/>
  <c r="C27" i="18"/>
  <c r="C31" i="18"/>
  <c r="C35" i="18"/>
  <c r="C39" i="18"/>
  <c r="C12" i="18"/>
  <c r="C16" i="18"/>
  <c r="C20" i="18"/>
  <c r="C24" i="18"/>
  <c r="C28" i="18"/>
  <c r="C32" i="18"/>
  <c r="C36" i="18"/>
  <c r="C13" i="18"/>
  <c r="C17" i="18"/>
  <c r="C21" i="18"/>
  <c r="C25" i="18"/>
  <c r="C29" i="18"/>
  <c r="C33" i="18"/>
  <c r="C37" i="18"/>
  <c r="M10" i="18"/>
  <c r="M36" i="18"/>
  <c r="M32" i="18"/>
  <c r="M28" i="18"/>
  <c r="M24" i="18"/>
  <c r="M20" i="18"/>
  <c r="M16" i="18"/>
  <c r="M12" i="18"/>
  <c r="M37" i="18"/>
  <c r="M33" i="18"/>
  <c r="M29" i="18"/>
  <c r="M25" i="18"/>
  <c r="M21" i="18"/>
  <c r="M17" i="18"/>
  <c r="M13" i="18"/>
  <c r="M39" i="18"/>
  <c r="M35" i="18"/>
  <c r="M31" i="18"/>
  <c r="M27" i="18"/>
  <c r="M23" i="18"/>
  <c r="M19" i="18"/>
  <c r="M15" i="18"/>
  <c r="M11" i="18"/>
  <c r="L11" i="18"/>
  <c r="M38" i="18"/>
  <c r="M34" i="18"/>
  <c r="M30" i="18"/>
  <c r="M26" i="18"/>
  <c r="M22" i="18"/>
  <c r="M18" i="18"/>
  <c r="D18" i="19" l="1"/>
  <c r="Q4" i="22"/>
  <c r="I5" i="22"/>
  <c r="V5" i="22"/>
  <c r="G4" i="23"/>
  <c r="H4" i="23" s="1"/>
  <c r="T5" i="22"/>
  <c r="E4" i="19"/>
  <c r="P8" i="22"/>
  <c r="T12" i="22"/>
  <c r="E11" i="19"/>
  <c r="P12" i="22"/>
  <c r="T22" i="22"/>
  <c r="E21" i="19"/>
  <c r="R8" i="22"/>
  <c r="D7" i="19"/>
  <c r="R5" i="22"/>
  <c r="D4" i="19"/>
  <c r="R4" i="22"/>
  <c r="D3" i="19"/>
  <c r="T23" i="22"/>
  <c r="E22" i="19"/>
  <c r="R6" i="22"/>
  <c r="D5" i="19"/>
  <c r="T20" i="22"/>
  <c r="E19" i="19"/>
  <c r="R9" i="22"/>
  <c r="D8" i="19"/>
  <c r="T15" i="22"/>
  <c r="E14" i="19"/>
  <c r="P5" i="22"/>
  <c r="T6" i="22"/>
  <c r="E5" i="19"/>
  <c r="T16" i="22"/>
  <c r="E15" i="19"/>
  <c r="R22" i="22"/>
  <c r="D21" i="19"/>
  <c r="T8" i="22"/>
  <c r="E7" i="19"/>
  <c r="P22" i="22"/>
  <c r="T4" i="22"/>
  <c r="E3" i="19"/>
  <c r="T14" i="22"/>
  <c r="E13" i="19"/>
  <c r="J8" i="21"/>
  <c r="X8" i="22" s="1"/>
  <c r="E10" i="18"/>
  <c r="F10" i="18" s="1"/>
  <c r="B11" i="18" s="1"/>
  <c r="J23" i="18"/>
  <c r="K22" i="18"/>
  <c r="R10" i="18"/>
  <c r="I6" i="7"/>
  <c r="J6" i="7" s="1"/>
  <c r="I7" i="7"/>
  <c r="J7" i="7" s="1"/>
  <c r="I8" i="7"/>
  <c r="J8" i="7" s="1"/>
  <c r="I9" i="7"/>
  <c r="J9" i="7" s="1"/>
  <c r="I10" i="7"/>
  <c r="J10" i="7" s="1"/>
  <c r="I11" i="7"/>
  <c r="J11" i="7" s="1"/>
  <c r="I12" i="7"/>
  <c r="J12" i="7" s="1"/>
  <c r="I13" i="7"/>
  <c r="J13" i="7" s="1"/>
  <c r="I14" i="7"/>
  <c r="J14" i="7" s="1"/>
  <c r="I15" i="7"/>
  <c r="J15" i="7" s="1"/>
  <c r="I16" i="7"/>
  <c r="J16" i="7" s="1"/>
  <c r="I17" i="7"/>
  <c r="J17" i="7" s="1"/>
  <c r="I18" i="7"/>
  <c r="J18" i="7" s="1"/>
  <c r="I19" i="7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8" i="7"/>
  <c r="J28" i="7" s="1"/>
  <c r="I29" i="7"/>
  <c r="J29" i="7" s="1"/>
  <c r="I5" i="7"/>
  <c r="J5" i="7" s="1"/>
  <c r="B6" i="7"/>
  <c r="B7" i="7"/>
  <c r="C7" i="7" s="1"/>
  <c r="B8" i="7"/>
  <c r="C8" i="7" s="1"/>
  <c r="B9" i="7"/>
  <c r="C9" i="7" s="1"/>
  <c r="B10" i="7"/>
  <c r="B11" i="7"/>
  <c r="C11" i="7" s="1"/>
  <c r="B12" i="7"/>
  <c r="C12" i="7" s="1"/>
  <c r="B13" i="7"/>
  <c r="C13" i="7" s="1"/>
  <c r="B14" i="7"/>
  <c r="C14" i="7" s="1"/>
  <c r="B15" i="7"/>
  <c r="C15" i="7" s="1"/>
  <c r="B16" i="7"/>
  <c r="C16" i="7" s="1"/>
  <c r="B17" i="7"/>
  <c r="C17" i="7" s="1"/>
  <c r="B18" i="7"/>
  <c r="C18" i="7" s="1"/>
  <c r="B19" i="7"/>
  <c r="C19" i="7" s="1"/>
  <c r="B20" i="7"/>
  <c r="C20" i="7" s="1"/>
  <c r="B21" i="7"/>
  <c r="C21" i="7" s="1"/>
  <c r="B22" i="7"/>
  <c r="C22" i="7" s="1"/>
  <c r="B23" i="7"/>
  <c r="C23" i="7" s="1"/>
  <c r="B24" i="7"/>
  <c r="C24" i="7" s="1"/>
  <c r="B25" i="7"/>
  <c r="C25" i="7" s="1"/>
  <c r="B26" i="7"/>
  <c r="C26" i="7" s="1"/>
  <c r="B27" i="7"/>
  <c r="C27" i="7" s="1"/>
  <c r="B28" i="7"/>
  <c r="C28" i="7" s="1"/>
  <c r="B29" i="7"/>
  <c r="C29" i="7" s="1"/>
  <c r="B5" i="7"/>
  <c r="Q7" i="7"/>
  <c r="C14" i="9" s="1"/>
  <c r="P7" i="7"/>
  <c r="B14" i="9" s="1"/>
  <c r="J19" i="7"/>
  <c r="C10" i="7"/>
  <c r="K3" i="7"/>
  <c r="L3" i="7"/>
  <c r="D3" i="7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Q11" i="18" l="1"/>
  <c r="R11" i="18" s="1"/>
  <c r="C3" i="13"/>
  <c r="D26" i="7"/>
  <c r="C6" i="7"/>
  <c r="D6" i="7"/>
  <c r="C5" i="7"/>
  <c r="C31" i="7" s="1"/>
  <c r="E5" i="7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11" i="6"/>
  <c r="E11" i="24" s="1"/>
  <c r="C11" i="24"/>
  <c r="E19" i="6"/>
  <c r="E19" i="24" s="1"/>
  <c r="C19" i="24"/>
  <c r="E8" i="24"/>
  <c r="C8" i="24"/>
  <c r="E16" i="6"/>
  <c r="E16" i="24" s="1"/>
  <c r="C16" i="24"/>
  <c r="D5" i="6"/>
  <c r="D5" i="24" s="1"/>
  <c r="C5" i="24"/>
  <c r="E9" i="6"/>
  <c r="E9" i="24" s="1"/>
  <c r="C9" i="24"/>
  <c r="E13" i="6"/>
  <c r="E13" i="24" s="1"/>
  <c r="C13" i="24"/>
  <c r="E17" i="6"/>
  <c r="E17" i="24" s="1"/>
  <c r="C17" i="24"/>
  <c r="E21" i="6"/>
  <c r="E21" i="24" s="1"/>
  <c r="C21" i="24"/>
  <c r="E7" i="6"/>
  <c r="E7" i="24" s="1"/>
  <c r="C7" i="24"/>
  <c r="E15" i="6"/>
  <c r="E15" i="24" s="1"/>
  <c r="C15" i="24"/>
  <c r="E23" i="6"/>
  <c r="E23" i="24" s="1"/>
  <c r="C23" i="24"/>
  <c r="E12" i="6"/>
  <c r="E12" i="24" s="1"/>
  <c r="C12" i="24"/>
  <c r="E24" i="6"/>
  <c r="E24" i="24" s="1"/>
  <c r="C24" i="24"/>
  <c r="E6" i="6"/>
  <c r="E6" i="24" s="1"/>
  <c r="C6" i="24"/>
  <c r="E10" i="6"/>
  <c r="E10" i="24" s="1"/>
  <c r="C10" i="24"/>
  <c r="E14" i="6"/>
  <c r="E14" i="24" s="1"/>
  <c r="C14" i="24"/>
  <c r="E18" i="6"/>
  <c r="E18" i="24" s="1"/>
  <c r="C18" i="24"/>
  <c r="E22" i="6"/>
  <c r="E22" i="24" s="1"/>
  <c r="C22" i="24"/>
  <c r="E20" i="6"/>
  <c r="E20" i="24" s="1"/>
  <c r="C20" i="24"/>
  <c r="C6" i="22"/>
  <c r="G6" i="22" s="1"/>
  <c r="H6" i="22" s="1"/>
  <c r="Q5" i="22"/>
  <c r="I4" i="23"/>
  <c r="P14" i="22"/>
  <c r="P19" i="22"/>
  <c r="P13" i="22"/>
  <c r="P6" i="22"/>
  <c r="P20" i="22"/>
  <c r="P15" i="22"/>
  <c r="P11" i="22"/>
  <c r="P7" i="22"/>
  <c r="P16" i="22"/>
  <c r="P10" i="22"/>
  <c r="P21" i="22"/>
  <c r="D11" i="18"/>
  <c r="E11" i="18" s="1"/>
  <c r="F11" i="18" s="1"/>
  <c r="B12" i="18" s="1"/>
  <c r="P17" i="22"/>
  <c r="P18" i="22"/>
  <c r="P4" i="22"/>
  <c r="J9" i="21"/>
  <c r="X9" i="22" s="1"/>
  <c r="L23" i="18"/>
  <c r="K23" i="18"/>
  <c r="J24" i="18"/>
  <c r="L5" i="7"/>
  <c r="L6" i="7" s="1"/>
  <c r="L7" i="7" s="1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D10" i="7"/>
  <c r="K28" i="7"/>
  <c r="E5" i="6"/>
  <c r="E5" i="24" s="1"/>
  <c r="D29" i="7"/>
  <c r="D18" i="7"/>
  <c r="D12" i="7"/>
  <c r="D28" i="7"/>
  <c r="D20" i="7"/>
  <c r="D14" i="7"/>
  <c r="D22" i="7"/>
  <c r="J31" i="7"/>
  <c r="D8" i="7"/>
  <c r="D16" i="7"/>
  <c r="D24" i="7"/>
  <c r="K17" i="7"/>
  <c r="K19" i="7"/>
  <c r="K21" i="7"/>
  <c r="K23" i="7"/>
  <c r="K25" i="7"/>
  <c r="K27" i="7"/>
  <c r="K29" i="7"/>
  <c r="K11" i="7"/>
  <c r="K15" i="7"/>
  <c r="D5" i="7"/>
  <c r="F5" i="7" s="1"/>
  <c r="F6" i="7" s="1"/>
  <c r="F7" i="7" s="1"/>
  <c r="F8" i="7" s="1"/>
  <c r="D7" i="7"/>
  <c r="D9" i="7"/>
  <c r="D11" i="7"/>
  <c r="D13" i="7"/>
  <c r="D15" i="7"/>
  <c r="D17" i="7"/>
  <c r="D19" i="7"/>
  <c r="D21" i="7"/>
  <c r="D23" i="7"/>
  <c r="D25" i="7"/>
  <c r="D27" i="7"/>
  <c r="K5" i="7"/>
  <c r="K7" i="7"/>
  <c r="K9" i="7"/>
  <c r="K13" i="7"/>
  <c r="K6" i="7"/>
  <c r="K8" i="7"/>
  <c r="K10" i="7"/>
  <c r="K12" i="7"/>
  <c r="K14" i="7"/>
  <c r="K16" i="7"/>
  <c r="K18" i="7"/>
  <c r="K20" i="7"/>
  <c r="K22" i="7"/>
  <c r="K24" i="7"/>
  <c r="K26" i="7"/>
  <c r="F9" i="7" l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Q12" i="18"/>
  <c r="R12" i="18" s="1"/>
  <c r="C4" i="13"/>
  <c r="V6" i="22"/>
  <c r="U6" i="22"/>
  <c r="D12" i="18"/>
  <c r="E12" i="18" s="1"/>
  <c r="F12" i="18" s="1"/>
  <c r="B13" i="18" s="1"/>
  <c r="C5" i="13" s="1"/>
  <c r="D6" i="6"/>
  <c r="D6" i="24" s="1"/>
  <c r="M5" i="24"/>
  <c r="M6" i="24"/>
  <c r="I6" i="22"/>
  <c r="C7" i="22" s="1"/>
  <c r="G7" i="22" s="1"/>
  <c r="P23" i="22"/>
  <c r="P9" i="22"/>
  <c r="B3" i="19"/>
  <c r="J10" i="21"/>
  <c r="X10" i="22" s="1"/>
  <c r="L24" i="18"/>
  <c r="K24" i="18"/>
  <c r="J25" i="18"/>
  <c r="D13" i="18"/>
  <c r="E13" i="18" s="1"/>
  <c r="F13" i="18" s="1"/>
  <c r="B14" i="18" s="1"/>
  <c r="C6" i="13" s="1"/>
  <c r="S4" i="22"/>
  <c r="W4" i="22" s="1"/>
  <c r="D31" i="7"/>
  <c r="C4" i="20" s="1"/>
  <c r="K31" i="7"/>
  <c r="D7" i="6"/>
  <c r="D7" i="24" s="1"/>
  <c r="Q13" i="18" l="1"/>
  <c r="R13" i="18" s="1"/>
  <c r="M8" i="24"/>
  <c r="M7" i="24"/>
  <c r="Q6" i="22"/>
  <c r="H7" i="22"/>
  <c r="U7" i="22" s="1"/>
  <c r="Z4" i="22"/>
  <c r="AA4" i="22" s="1"/>
  <c r="C6" i="11"/>
  <c r="K3" i="19" s="1"/>
  <c r="Q11" i="7"/>
  <c r="C10" i="9" s="1"/>
  <c r="D4" i="20"/>
  <c r="C5" i="23"/>
  <c r="G5" i="23" s="1"/>
  <c r="J11" i="21"/>
  <c r="X11" i="22" s="1"/>
  <c r="L25" i="18"/>
  <c r="J26" i="18"/>
  <c r="K25" i="18"/>
  <c r="L26" i="18" s="1"/>
  <c r="Q14" i="18"/>
  <c r="R14" i="18" s="1"/>
  <c r="D14" i="18"/>
  <c r="E14" i="18" s="1"/>
  <c r="F14" i="18" s="1"/>
  <c r="B15" i="18" s="1"/>
  <c r="C7" i="13" s="1"/>
  <c r="H32" i="7"/>
  <c r="P11" i="7"/>
  <c r="B10" i="9" s="1"/>
  <c r="D8" i="24"/>
  <c r="M9" i="24" l="1"/>
  <c r="I7" i="22"/>
  <c r="V7" i="22"/>
  <c r="H5" i="23"/>
  <c r="J12" i="21"/>
  <c r="X12" i="22" s="1"/>
  <c r="J27" i="18"/>
  <c r="K26" i="18"/>
  <c r="Q15" i="18"/>
  <c r="R15" i="18" s="1"/>
  <c r="D15" i="18"/>
  <c r="E15" i="18" s="1"/>
  <c r="F15" i="18" s="1"/>
  <c r="B16" i="18" s="1"/>
  <c r="C8" i="13" s="1"/>
  <c r="D9" i="6"/>
  <c r="D9" i="24" s="1"/>
  <c r="M10" i="24" l="1"/>
  <c r="C8" i="22"/>
  <c r="G8" i="22" s="1"/>
  <c r="H8" i="22" s="1"/>
  <c r="U8" i="22" s="1"/>
  <c r="Q7" i="22"/>
  <c r="I5" i="23"/>
  <c r="J13" i="21"/>
  <c r="X13" i="22" s="1"/>
  <c r="L27" i="18"/>
  <c r="J28" i="18"/>
  <c r="K27" i="18"/>
  <c r="Q16" i="18"/>
  <c r="R16" i="18" s="1"/>
  <c r="D16" i="18"/>
  <c r="E16" i="18" s="1"/>
  <c r="F16" i="18" s="1"/>
  <c r="B17" i="18" s="1"/>
  <c r="C9" i="13" s="1"/>
  <c r="D10" i="6"/>
  <c r="D10" i="24" s="1"/>
  <c r="M11" i="24" l="1"/>
  <c r="I8" i="22"/>
  <c r="V8" i="22"/>
  <c r="B4" i="19"/>
  <c r="J14" i="21"/>
  <c r="X14" i="22" s="1"/>
  <c r="K28" i="18"/>
  <c r="J29" i="18"/>
  <c r="L28" i="18"/>
  <c r="Q17" i="18"/>
  <c r="R17" i="18" s="1"/>
  <c r="D17" i="18"/>
  <c r="E17" i="18" s="1"/>
  <c r="F17" i="18" s="1"/>
  <c r="B18" i="18" s="1"/>
  <c r="C10" i="13" s="1"/>
  <c r="D11" i="6"/>
  <c r="D11" i="24" s="1"/>
  <c r="M12" i="24" l="1"/>
  <c r="C9" i="22"/>
  <c r="G9" i="22" s="1"/>
  <c r="H9" i="22" s="1"/>
  <c r="U9" i="22" s="1"/>
  <c r="Q8" i="22"/>
  <c r="C6" i="23"/>
  <c r="G6" i="23" s="1"/>
  <c r="J15" i="21"/>
  <c r="X15" i="22" s="1"/>
  <c r="S5" i="22"/>
  <c r="W5" i="22" s="1"/>
  <c r="L29" i="18"/>
  <c r="K29" i="18"/>
  <c r="J30" i="18"/>
  <c r="Q18" i="18"/>
  <c r="R18" i="18" s="1"/>
  <c r="D18" i="18"/>
  <c r="E18" i="18" s="1"/>
  <c r="F18" i="18" s="1"/>
  <c r="B19" i="18" s="1"/>
  <c r="C11" i="13" s="1"/>
  <c r="D12" i="6"/>
  <c r="D12" i="24" s="1"/>
  <c r="M13" i="24" l="1"/>
  <c r="I9" i="22"/>
  <c r="V9" i="22"/>
  <c r="H6" i="23"/>
  <c r="Z5" i="22"/>
  <c r="AA5" i="22" s="1"/>
  <c r="C7" i="11"/>
  <c r="K4" i="19" s="1"/>
  <c r="J16" i="21"/>
  <c r="X16" i="22" s="1"/>
  <c r="L30" i="18"/>
  <c r="J31" i="18"/>
  <c r="K30" i="18"/>
  <c r="Q19" i="18"/>
  <c r="R19" i="18" s="1"/>
  <c r="D19" i="18"/>
  <c r="E19" i="18" s="1"/>
  <c r="F19" i="18" s="1"/>
  <c r="B20" i="18" s="1"/>
  <c r="C12" i="13" s="1"/>
  <c r="D13" i="6"/>
  <c r="D13" i="24" s="1"/>
  <c r="M14" i="24" l="1"/>
  <c r="C10" i="22"/>
  <c r="G10" i="22" s="1"/>
  <c r="H10" i="22" s="1"/>
  <c r="U10" i="22" s="1"/>
  <c r="Q9" i="22"/>
  <c r="I6" i="23"/>
  <c r="J17" i="21"/>
  <c r="X17" i="22" s="1"/>
  <c r="L31" i="18"/>
  <c r="K31" i="18"/>
  <c r="J32" i="18"/>
  <c r="Q20" i="18"/>
  <c r="R20" i="18" s="1"/>
  <c r="D20" i="18"/>
  <c r="E20" i="18" s="1"/>
  <c r="F20" i="18" s="1"/>
  <c r="B21" i="18" s="1"/>
  <c r="C13" i="13" s="1"/>
  <c r="D14" i="6"/>
  <c r="D14" i="24" s="1"/>
  <c r="M15" i="24" l="1"/>
  <c r="I10" i="22"/>
  <c r="V10" i="22"/>
  <c r="B5" i="19"/>
  <c r="C7" i="23"/>
  <c r="G7" i="23" s="1"/>
  <c r="J18" i="21"/>
  <c r="X18" i="22" s="1"/>
  <c r="S6" i="22"/>
  <c r="W6" i="22" s="1"/>
  <c r="L32" i="18"/>
  <c r="K32" i="18"/>
  <c r="J33" i="18"/>
  <c r="Q21" i="18"/>
  <c r="D21" i="18"/>
  <c r="E21" i="18" s="1"/>
  <c r="F21" i="18" s="1"/>
  <c r="B22" i="18" s="1"/>
  <c r="C14" i="13" s="1"/>
  <c r="D15" i="6"/>
  <c r="D15" i="24" s="1"/>
  <c r="M16" i="24" l="1"/>
  <c r="C11" i="22"/>
  <c r="G11" i="22" s="1"/>
  <c r="H11" i="22" s="1"/>
  <c r="U11" i="22" s="1"/>
  <c r="Q10" i="22"/>
  <c r="H7" i="23"/>
  <c r="C8" i="11"/>
  <c r="K5" i="19" s="1"/>
  <c r="Z6" i="22"/>
  <c r="AA6" i="22" s="1"/>
  <c r="J19" i="21"/>
  <c r="X19" i="22" s="1"/>
  <c r="R21" i="18"/>
  <c r="J34" i="18"/>
  <c r="K33" i="18"/>
  <c r="L33" i="18"/>
  <c r="Q22" i="18"/>
  <c r="D22" i="18"/>
  <c r="E22" i="18" s="1"/>
  <c r="F22" i="18" s="1"/>
  <c r="B23" i="18" s="1"/>
  <c r="C15" i="13" s="1"/>
  <c r="D16" i="6"/>
  <c r="D16" i="24" s="1"/>
  <c r="M17" i="24" l="1"/>
  <c r="I11" i="22"/>
  <c r="V11" i="22"/>
  <c r="I7" i="23"/>
  <c r="J20" i="21"/>
  <c r="X20" i="22" s="1"/>
  <c r="R22" i="18"/>
  <c r="L34" i="18"/>
  <c r="J35" i="18"/>
  <c r="K34" i="18"/>
  <c r="Q23" i="18"/>
  <c r="D23" i="18"/>
  <c r="E23" i="18" s="1"/>
  <c r="F23" i="18" s="1"/>
  <c r="B24" i="18" s="1"/>
  <c r="C16" i="13" s="1"/>
  <c r="D17" i="6"/>
  <c r="D17" i="24" s="1"/>
  <c r="M18" i="24" l="1"/>
  <c r="C12" i="22"/>
  <c r="G12" i="22" s="1"/>
  <c r="H12" i="22" s="1"/>
  <c r="U12" i="22" s="1"/>
  <c r="Q11" i="22"/>
  <c r="B6" i="19"/>
  <c r="J21" i="21"/>
  <c r="X21" i="22" s="1"/>
  <c r="R23" i="18"/>
  <c r="L35" i="18"/>
  <c r="J36" i="18"/>
  <c r="K35" i="18"/>
  <c r="Q24" i="18"/>
  <c r="D24" i="18"/>
  <c r="E24" i="18" s="1"/>
  <c r="F24" i="18" s="1"/>
  <c r="B25" i="18" s="1"/>
  <c r="C17" i="13" s="1"/>
  <c r="D18" i="6"/>
  <c r="D18" i="24" s="1"/>
  <c r="M19" i="24" l="1"/>
  <c r="I12" i="22"/>
  <c r="V12" i="22"/>
  <c r="C8" i="23"/>
  <c r="G8" i="23" s="1"/>
  <c r="J22" i="21"/>
  <c r="X22" i="22" s="1"/>
  <c r="S7" i="22"/>
  <c r="W7" i="22" s="1"/>
  <c r="L36" i="18"/>
  <c r="R24" i="18"/>
  <c r="K36" i="18"/>
  <c r="J37" i="18"/>
  <c r="Q25" i="18"/>
  <c r="D25" i="18"/>
  <c r="E25" i="18" s="1"/>
  <c r="F25" i="18" s="1"/>
  <c r="B26" i="18" s="1"/>
  <c r="C18" i="13" s="1"/>
  <c r="D19" i="6"/>
  <c r="D19" i="24" s="1"/>
  <c r="M20" i="24" l="1"/>
  <c r="C13" i="22"/>
  <c r="G13" i="22" s="1"/>
  <c r="H13" i="22" s="1"/>
  <c r="U13" i="22" s="1"/>
  <c r="Q12" i="22"/>
  <c r="H8" i="23"/>
  <c r="C9" i="11"/>
  <c r="K6" i="19" s="1"/>
  <c r="Z7" i="22"/>
  <c r="AA7" i="22" s="1"/>
  <c r="J23" i="21"/>
  <c r="R25" i="18"/>
  <c r="L37" i="18"/>
  <c r="K37" i="18"/>
  <c r="J38" i="18"/>
  <c r="Q26" i="18"/>
  <c r="D26" i="18"/>
  <c r="E26" i="18" s="1"/>
  <c r="F26" i="18" s="1"/>
  <c r="B27" i="18" s="1"/>
  <c r="C19" i="13" s="1"/>
  <c r="D20" i="6"/>
  <c r="D20" i="24" s="1"/>
  <c r="X23" i="22" l="1"/>
  <c r="J24" i="21"/>
  <c r="E25" i="19" s="1"/>
  <c r="M21" i="24"/>
  <c r="I13" i="22"/>
  <c r="V13" i="22"/>
  <c r="I8" i="23"/>
  <c r="B7" i="19"/>
  <c r="R26" i="18"/>
  <c r="L38" i="18"/>
  <c r="J39" i="18"/>
  <c r="K38" i="18"/>
  <c r="Q27" i="18"/>
  <c r="D27" i="18"/>
  <c r="E27" i="18" s="1"/>
  <c r="F27" i="18" s="1"/>
  <c r="B28" i="18" s="1"/>
  <c r="C20" i="13" s="1"/>
  <c r="D21" i="6"/>
  <c r="D21" i="24" s="1"/>
  <c r="M22" i="24" l="1"/>
  <c r="C14" i="22"/>
  <c r="G14" i="22" s="1"/>
  <c r="H14" i="22" s="1"/>
  <c r="U14" i="22" s="1"/>
  <c r="Q13" i="22"/>
  <c r="C9" i="23"/>
  <c r="G9" i="23" s="1"/>
  <c r="R27" i="18"/>
  <c r="K39" i="18"/>
  <c r="N10" i="18" s="1"/>
  <c r="L39" i="18"/>
  <c r="Q28" i="18"/>
  <c r="D28" i="18"/>
  <c r="E28" i="18" s="1"/>
  <c r="F28" i="18" s="1"/>
  <c r="B29" i="18" s="1"/>
  <c r="C21" i="13" s="1"/>
  <c r="D22" i="6"/>
  <c r="D22" i="24" s="1"/>
  <c r="M23" i="24" l="1"/>
  <c r="I14" i="22"/>
  <c r="V14" i="22"/>
  <c r="H9" i="23"/>
  <c r="S8" i="22"/>
  <c r="R28" i="18"/>
  <c r="Q29" i="18"/>
  <c r="D29" i="18"/>
  <c r="E29" i="18" s="1"/>
  <c r="F29" i="18" s="1"/>
  <c r="B30" i="18" s="1"/>
  <c r="C22" i="13" s="1"/>
  <c r="D23" i="6"/>
  <c r="D23" i="24" s="1"/>
  <c r="C15" i="22" l="1"/>
  <c r="G15" i="22" s="1"/>
  <c r="H15" i="22" s="1"/>
  <c r="Q14" i="22"/>
  <c r="I9" i="23"/>
  <c r="W8" i="22"/>
  <c r="R29" i="18"/>
  <c r="Q30" i="18"/>
  <c r="D30" i="18"/>
  <c r="E30" i="18" s="1"/>
  <c r="F30" i="18" s="1"/>
  <c r="B31" i="18" s="1"/>
  <c r="C23" i="13" s="1"/>
  <c r="D24" i="6"/>
  <c r="D24" i="24" s="1"/>
  <c r="B3" i="14" l="1"/>
  <c r="V15" i="22"/>
  <c r="U15" i="22"/>
  <c r="M24" i="24"/>
  <c r="M26" i="24" s="1"/>
  <c r="I15" i="22"/>
  <c r="Q15" i="22" s="1"/>
  <c r="C10" i="11"/>
  <c r="K7" i="19" s="1"/>
  <c r="Z8" i="22"/>
  <c r="AA8" i="22" s="1"/>
  <c r="B8" i="19"/>
  <c r="R30" i="18"/>
  <c r="Q31" i="18"/>
  <c r="D31" i="18"/>
  <c r="E31" i="18" s="1"/>
  <c r="F31" i="18" s="1"/>
  <c r="B32" i="18" s="1"/>
  <c r="C24" i="13" s="1"/>
  <c r="M28" i="24" l="1"/>
  <c r="N28" i="24" s="1"/>
  <c r="C16" i="22"/>
  <c r="G16" i="22" s="1"/>
  <c r="H16" i="22" s="1"/>
  <c r="U16" i="22" s="1"/>
  <c r="C10" i="23"/>
  <c r="G10" i="23" s="1"/>
  <c r="R31" i="18"/>
  <c r="Q32" i="18"/>
  <c r="D32" i="18"/>
  <c r="E32" i="18" s="1"/>
  <c r="F32" i="18" s="1"/>
  <c r="B33" i="18" s="1"/>
  <c r="C25" i="13" s="1"/>
  <c r="B5" i="14" l="1"/>
  <c r="I16" i="22"/>
  <c r="V16" i="22"/>
  <c r="C17" i="22"/>
  <c r="G17" i="22" s="1"/>
  <c r="Q16" i="22"/>
  <c r="H10" i="23"/>
  <c r="S9" i="22"/>
  <c r="W9" i="22" s="1"/>
  <c r="R32" i="18"/>
  <c r="Q33" i="18"/>
  <c r="D33" i="18"/>
  <c r="E33" i="18" s="1"/>
  <c r="F33" i="18" s="1"/>
  <c r="B34" i="18" s="1"/>
  <c r="C26" i="13" s="1"/>
  <c r="H17" i="22" l="1"/>
  <c r="U17" i="22" s="1"/>
  <c r="I10" i="23"/>
  <c r="C11" i="11"/>
  <c r="K8" i="19" s="1"/>
  <c r="Z9" i="22"/>
  <c r="AA9" i="22" s="1"/>
  <c r="B9" i="19"/>
  <c r="R33" i="18"/>
  <c r="Q34" i="18"/>
  <c r="D34" i="18"/>
  <c r="E34" i="18" s="1"/>
  <c r="F34" i="18" s="1"/>
  <c r="B35" i="18" s="1"/>
  <c r="C27" i="13" s="1"/>
  <c r="I17" i="22" l="1"/>
  <c r="V17" i="22"/>
  <c r="C11" i="23"/>
  <c r="G11" i="23" s="1"/>
  <c r="R34" i="18"/>
  <c r="Q35" i="18"/>
  <c r="D35" i="18"/>
  <c r="E35" i="18" s="1"/>
  <c r="F35" i="18" s="1"/>
  <c r="B36" i="18" s="1"/>
  <c r="C28" i="13" s="1"/>
  <c r="C18" i="22" l="1"/>
  <c r="G18" i="22" s="1"/>
  <c r="H18" i="22" s="1"/>
  <c r="U18" i="22" s="1"/>
  <c r="Q17" i="22"/>
  <c r="H11" i="23"/>
  <c r="R35" i="18"/>
  <c r="Q36" i="18"/>
  <c r="D36" i="18"/>
  <c r="E36" i="18" s="1"/>
  <c r="F36" i="18" s="1"/>
  <c r="B37" i="18" s="1"/>
  <c r="C29" i="13" s="1"/>
  <c r="I18" i="22" l="1"/>
  <c r="V18" i="22"/>
  <c r="I11" i="23"/>
  <c r="S10" i="22"/>
  <c r="W10" i="22" s="1"/>
  <c r="R36" i="18"/>
  <c r="Q37" i="18"/>
  <c r="D37" i="18"/>
  <c r="E37" i="18" s="1"/>
  <c r="F37" i="18" s="1"/>
  <c r="B38" i="18" s="1"/>
  <c r="C30" i="13" s="1"/>
  <c r="C19" i="22" l="1"/>
  <c r="G19" i="22" s="1"/>
  <c r="H19" i="22" s="1"/>
  <c r="U19" i="22" s="1"/>
  <c r="Q18" i="22"/>
  <c r="C12" i="11"/>
  <c r="K9" i="19" s="1"/>
  <c r="Z10" i="22"/>
  <c r="AA10" i="22" s="1"/>
  <c r="B10" i="19"/>
  <c r="R37" i="18"/>
  <c r="Q38" i="18"/>
  <c r="D38" i="18"/>
  <c r="E38" i="18" s="1"/>
  <c r="F38" i="18" s="1"/>
  <c r="B39" i="18" s="1"/>
  <c r="C31" i="13" s="1"/>
  <c r="I19" i="22" l="1"/>
  <c r="V19" i="22"/>
  <c r="C12" i="23"/>
  <c r="G12" i="23" s="1"/>
  <c r="R38" i="18"/>
  <c r="Q39" i="18"/>
  <c r="D39" i="18"/>
  <c r="E39" i="18" s="1"/>
  <c r="F39" i="18" s="1"/>
  <c r="C20" i="22" l="1"/>
  <c r="G20" i="22" s="1"/>
  <c r="H20" i="22" s="1"/>
  <c r="U20" i="22" s="1"/>
  <c r="Q19" i="22"/>
  <c r="H12" i="23"/>
  <c r="R39" i="18"/>
  <c r="H1" i="13" l="1"/>
  <c r="I20" i="22"/>
  <c r="V20" i="22"/>
  <c r="I12" i="23"/>
  <c r="S11" i="22"/>
  <c r="C21" i="22" l="1"/>
  <c r="G21" i="22" s="1"/>
  <c r="H21" i="22" s="1"/>
  <c r="U21" i="22" s="1"/>
  <c r="Q20" i="22"/>
  <c r="B11" i="19"/>
  <c r="W11" i="22"/>
  <c r="C13" i="23"/>
  <c r="G13" i="23" s="1"/>
  <c r="I21" i="22" l="1"/>
  <c r="V21" i="22"/>
  <c r="H13" i="23"/>
  <c r="C13" i="11"/>
  <c r="K10" i="19" s="1"/>
  <c r="Z11" i="22"/>
  <c r="AA11" i="22" s="1"/>
  <c r="C22" i="22" l="1"/>
  <c r="G22" i="22" s="1"/>
  <c r="H22" i="22" s="1"/>
  <c r="U22" i="22" s="1"/>
  <c r="Q21" i="22"/>
  <c r="I13" i="23"/>
  <c r="I22" i="22" l="1"/>
  <c r="V22" i="22"/>
  <c r="B12" i="19"/>
  <c r="S12" i="22"/>
  <c r="W12" i="22" s="1"/>
  <c r="C23" i="22" l="1"/>
  <c r="G23" i="22" s="1"/>
  <c r="H23" i="22" s="1"/>
  <c r="U23" i="22" s="1"/>
  <c r="Q22" i="22"/>
  <c r="C14" i="11"/>
  <c r="K11" i="19" s="1"/>
  <c r="Z12" i="22"/>
  <c r="AA12" i="22" s="1"/>
  <c r="C14" i="23"/>
  <c r="G14" i="23" s="1"/>
  <c r="I23" i="22" l="1"/>
  <c r="Q23" i="22" s="1"/>
  <c r="V23" i="22"/>
  <c r="H14" i="23"/>
  <c r="I14" i="23" l="1"/>
  <c r="B13" i="19" l="1"/>
  <c r="C15" i="23"/>
  <c r="G15" i="23" s="1"/>
  <c r="S13" i="22"/>
  <c r="W13" i="22" s="1"/>
  <c r="H15" i="23" l="1"/>
  <c r="C15" i="11"/>
  <c r="K12" i="19" s="1"/>
  <c r="Z13" i="22"/>
  <c r="AA13" i="22" s="1"/>
  <c r="I15" i="23" l="1"/>
  <c r="B14" i="19" l="1"/>
  <c r="C16" i="23" l="1"/>
  <c r="G16" i="23" s="1"/>
  <c r="H16" i="23" l="1"/>
  <c r="S14" i="22"/>
  <c r="W14" i="22" s="1"/>
  <c r="I16" i="23" l="1"/>
  <c r="C16" i="11"/>
  <c r="K13" i="19" s="1"/>
  <c r="Z14" i="22"/>
  <c r="AA14" i="22" s="1"/>
  <c r="B15" i="19" l="1"/>
  <c r="C17" i="23"/>
  <c r="G17" i="23" s="1"/>
  <c r="S15" i="22" l="1"/>
  <c r="W15" i="22" s="1"/>
  <c r="C17" i="11" s="1"/>
  <c r="K14" i="19" s="1"/>
  <c r="H17" i="23"/>
  <c r="Z15" i="22" l="1"/>
  <c r="AA15" i="22" s="1"/>
  <c r="I17" i="23"/>
  <c r="B16" i="19" l="1"/>
  <c r="C18" i="23" l="1"/>
  <c r="G18" i="23" s="1"/>
  <c r="S16" i="22"/>
  <c r="W16" i="22" s="1"/>
  <c r="H18" i="23" l="1"/>
  <c r="C18" i="11"/>
  <c r="K15" i="19" s="1"/>
  <c r="Z16" i="22"/>
  <c r="AA16" i="22" s="1"/>
  <c r="I18" i="23" l="1"/>
  <c r="B17" i="19"/>
  <c r="C19" i="23" l="1"/>
  <c r="G19" i="23" s="1"/>
  <c r="H19" i="23" l="1"/>
  <c r="S17" i="22"/>
  <c r="W17" i="22" s="1"/>
  <c r="I19" i="23" l="1"/>
  <c r="C19" i="11"/>
  <c r="K16" i="19" s="1"/>
  <c r="Z17" i="22"/>
  <c r="AA17" i="22" s="1"/>
  <c r="B18" i="19" l="1"/>
  <c r="C20" i="23" l="1"/>
  <c r="G20" i="23" s="1"/>
  <c r="H20" i="23" l="1"/>
  <c r="S18" i="22"/>
  <c r="W18" i="22" s="1"/>
  <c r="I20" i="23" l="1"/>
  <c r="C20" i="11"/>
  <c r="K17" i="19" s="1"/>
  <c r="Z18" i="22"/>
  <c r="AA18" i="22" s="1"/>
  <c r="B19" i="19" l="1"/>
  <c r="C21" i="23" l="1"/>
  <c r="G21" i="23" s="1"/>
  <c r="H21" i="23" l="1"/>
  <c r="S19" i="22"/>
  <c r="I21" i="23" l="1"/>
  <c r="W19" i="22"/>
  <c r="C21" i="11" l="1"/>
  <c r="K18" i="19" s="1"/>
  <c r="Z19" i="22"/>
  <c r="AA19" i="22" s="1"/>
  <c r="B20" i="19"/>
  <c r="C22" i="23" l="1"/>
  <c r="G22" i="23" s="1"/>
  <c r="H22" i="23" l="1"/>
  <c r="S20" i="22"/>
  <c r="W20" i="22" s="1"/>
  <c r="I22" i="23" l="1"/>
  <c r="C22" i="11"/>
  <c r="K19" i="19" s="1"/>
  <c r="Z20" i="22"/>
  <c r="AA20" i="22" s="1"/>
  <c r="B21" i="19" l="1"/>
  <c r="C23" i="23" l="1"/>
  <c r="G23" i="23" s="1"/>
  <c r="H23" i="23" l="1"/>
  <c r="S21" i="22"/>
  <c r="I23" i="23" l="1"/>
  <c r="W21" i="22"/>
  <c r="B22" i="19"/>
  <c r="C23" i="11" l="1"/>
  <c r="K20" i="19" s="1"/>
  <c r="Z21" i="22"/>
  <c r="AA21" i="22" s="1"/>
  <c r="S22" i="22" l="1"/>
  <c r="W22" i="22" l="1"/>
  <c r="C24" i="11" l="1"/>
  <c r="K21" i="19" s="1"/>
  <c r="Z22" i="22"/>
  <c r="AA22" i="22" s="1"/>
  <c r="S23" i="22" l="1"/>
  <c r="W23" i="22" s="1"/>
  <c r="C25" i="11" l="1"/>
  <c r="K22" i="19" s="1"/>
  <c r="Z23" i="22"/>
  <c r="AA23" i="22" s="1"/>
  <c r="AA25" i="22" s="1"/>
  <c r="AA27" i="22" s="1"/>
</calcChain>
</file>

<file path=xl/sharedStrings.xml><?xml version="1.0" encoding="utf-8"?>
<sst xmlns="http://schemas.openxmlformats.org/spreadsheetml/2006/main" count="354" uniqueCount="180">
  <si>
    <t xml:space="preserve">Loan </t>
  </si>
  <si>
    <t>Interest payable by policyholder on the loan</t>
  </si>
  <si>
    <t>p.a. effective</t>
  </si>
  <si>
    <t>Term Assurance</t>
  </si>
  <si>
    <t>Base Mortality Table</t>
  </si>
  <si>
    <t>Expenses</t>
  </si>
  <si>
    <t>None</t>
  </si>
  <si>
    <t>Age</t>
  </si>
  <si>
    <t>lx</t>
  </si>
  <si>
    <t>dx</t>
  </si>
  <si>
    <t>Surrenders</t>
  </si>
  <si>
    <t>Adjustment to mortality</t>
  </si>
  <si>
    <t>+5</t>
  </si>
  <si>
    <t>years</t>
  </si>
  <si>
    <t>Loan Calculation</t>
  </si>
  <si>
    <t>Interest</t>
  </si>
  <si>
    <t>v</t>
  </si>
  <si>
    <t>Loan amount</t>
  </si>
  <si>
    <t>Term</t>
  </si>
  <si>
    <t>a&lt;30&gt;</t>
  </si>
  <si>
    <t>Age for mortality</t>
  </si>
  <si>
    <t>Premium</t>
  </si>
  <si>
    <t>Annual loan repayment</t>
  </si>
  <si>
    <t>Year</t>
  </si>
  <si>
    <t>Loan outstanding</t>
  </si>
  <si>
    <t>Instalment</t>
  </si>
  <si>
    <t>Interest due</t>
  </si>
  <si>
    <t>Capital repaid</t>
  </si>
  <si>
    <t>The problem with this policy is that the premiums are payable annually in arrears.</t>
  </si>
  <si>
    <t>This means the company is providing the first year's life cover without having received any premium.</t>
  </si>
  <si>
    <t>The company will also have to incur any  costs associated with setting up the policy.</t>
  </si>
  <si>
    <t>The company will have to find the capital to pay for these costs.</t>
  </si>
  <si>
    <t>mux</t>
  </si>
  <si>
    <t>Year (t)</t>
  </si>
  <si>
    <t>Sum Assured</t>
  </si>
  <si>
    <t>Variance</t>
  </si>
  <si>
    <t>Project A</t>
  </si>
  <si>
    <t>IRR</t>
  </si>
  <si>
    <t>Project B</t>
  </si>
  <si>
    <t>Y/E cashflow</t>
  </si>
  <si>
    <t>NPV</t>
  </si>
  <si>
    <t>Discounted Payback Period</t>
  </si>
  <si>
    <t>17 years</t>
  </si>
  <si>
    <t>14 years</t>
  </si>
  <si>
    <t>This implies Project B will repay the initial investment sooner than B and so B should be chosen.</t>
  </si>
  <si>
    <t>A</t>
  </si>
  <si>
    <t>B</t>
  </si>
  <si>
    <t>Therefore investing in A will earn the company more profit than B and so A should be chosen.</t>
  </si>
  <si>
    <t>The return on the investment is higher for B than for A, and so B should be chosen.</t>
  </si>
  <si>
    <t xml:space="preserve"> </t>
  </si>
  <si>
    <t>The three measures give conflicting descision outcomes.</t>
  </si>
  <si>
    <t>Whilst Project A has a slightly higher NPV of profit, the two values are very similar.</t>
  </si>
  <si>
    <t>This suggest more reliance should be placed on the other two measures for deciding which to invest in</t>
  </si>
  <si>
    <t>and so project B should be chosen.</t>
  </si>
  <si>
    <t>Policy Terms</t>
  </si>
  <si>
    <t>Age at outset</t>
  </si>
  <si>
    <t>Policy Term</t>
  </si>
  <si>
    <t>Minimum guaranteed death benefit</t>
  </si>
  <si>
    <t>Annual Premium</t>
  </si>
  <si>
    <t>Bid offer spread</t>
  </si>
  <si>
    <t>Annual Management Charge</t>
  </si>
  <si>
    <t>Profit Test Assumptions</t>
  </si>
  <si>
    <t>Unit growth rate</t>
  </si>
  <si>
    <t>Return on non-unit balances</t>
  </si>
  <si>
    <t>Risk Discount Rate</t>
  </si>
  <si>
    <t>Initial Expenses</t>
  </si>
  <si>
    <t>Renewal expenses</t>
  </si>
  <si>
    <t>Initial Commision</t>
  </si>
  <si>
    <t>Renewal Commission</t>
  </si>
  <si>
    <t>UNIT FUND</t>
  </si>
  <si>
    <t>NON-UNIT FUND</t>
  </si>
  <si>
    <t>Policy Year</t>
  </si>
  <si>
    <t>Fund at start</t>
  </si>
  <si>
    <t>Allocated Premium</t>
  </si>
  <si>
    <t>AMC</t>
  </si>
  <si>
    <t>Fund at end</t>
  </si>
  <si>
    <t>Non-allocated premium</t>
  </si>
  <si>
    <t>Bid Offer Spread</t>
  </si>
  <si>
    <t>Commission</t>
  </si>
  <si>
    <t>Additional Death Benefit</t>
  </si>
  <si>
    <t>Mortality rate</t>
  </si>
  <si>
    <t>Cost of extra death cover</t>
  </si>
  <si>
    <t>Profit</t>
  </si>
  <si>
    <t>Discount factor</t>
  </si>
  <si>
    <t>Profit Signature</t>
  </si>
  <si>
    <t>Present Value of Profits</t>
  </si>
  <si>
    <t>Total PVP</t>
  </si>
  <si>
    <t>As percentage of P</t>
  </si>
  <si>
    <t>Solving for allocation rate</t>
  </si>
  <si>
    <t>The profit figures for each policy year is given by: -</t>
  </si>
  <si>
    <t>From this, we see that the only negative cashflow takes place in year 1.</t>
  </si>
  <si>
    <t xml:space="preserve">Therefore, there are no future negative cashflows to be zeroised </t>
  </si>
  <si>
    <t>and thus there is no need for the Company to set up non-unit reserves.</t>
  </si>
  <si>
    <t>[3]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</si>
  <si>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</si>
  <si>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v</t>
    </r>
    <r>
      <rPr>
        <b/>
        <vertAlign val="superscript"/>
        <sz val="11"/>
        <color theme="1"/>
        <rFont val="Calibri"/>
        <family val="2"/>
        <scheme val="minor"/>
      </rPr>
      <t>t</t>
    </r>
  </si>
  <si>
    <t>[1]</t>
  </si>
  <si>
    <t>[2]</t>
  </si>
  <si>
    <t>Annuity for premium</t>
  </si>
  <si>
    <t>Max [3]</t>
  </si>
  <si>
    <t>(i)</t>
  </si>
  <si>
    <t>(ii)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</si>
  <si>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x+t-1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</si>
  <si>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x+t-1</t>
    </r>
  </si>
  <si>
    <r>
      <t>E[X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</si>
  <si>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Independent mortality rate qx</t>
  </si>
  <si>
    <t>Force of mortality</t>
  </si>
  <si>
    <t>Force of critical illness</t>
  </si>
  <si>
    <t>(aq)x Critical Ill</t>
  </si>
  <si>
    <t>Critical illness rate</t>
  </si>
  <si>
    <t>Cost of Critical Illness cover</t>
  </si>
  <si>
    <t>Fund at end year before AMC deduction</t>
  </si>
  <si>
    <t>+</t>
  </si>
  <si>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32</t>
    </r>
  </si>
  <si>
    <t>PV death benefit</t>
  </si>
  <si>
    <t>Loan repayment</t>
  </si>
  <si>
    <t>p.a.</t>
  </si>
  <si>
    <t>Or by GOALSEEK/Solver</t>
  </si>
  <si>
    <t>For both projects the IRR is found by GOALSEEK</t>
  </si>
  <si>
    <t>setting the sum of the PV cashflows to zero.</t>
  </si>
  <si>
    <t>The discounted payback period is found where</t>
  </si>
  <si>
    <t xml:space="preserve">the accumulated profit, at the internal target rate </t>
  </si>
  <si>
    <t>of return, first becomes positive.</t>
  </si>
  <si>
    <t>[max 8]</t>
  </si>
  <si>
    <t>present value of premiums and the expected present value of benefits.</t>
  </si>
  <si>
    <t xml:space="preserve">The company sets the level annual premium for the decreasing term assurance by equating the expected </t>
  </si>
  <si>
    <t>Year t</t>
  </si>
  <si>
    <r>
      <rPr>
        <b/>
        <vertAlign val="subscript"/>
        <sz val="11"/>
        <color theme="1"/>
        <rFont val="Calibri"/>
        <family val="2"/>
        <scheme val="minor"/>
      </rPr>
      <t>t-1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32</t>
    </r>
    <r>
      <rPr>
        <b/>
        <sz val="11"/>
        <color theme="1"/>
        <rFont val="Calibri"/>
        <family val="2"/>
        <scheme val="minor"/>
      </rPr>
      <t xml:space="preserve"> q</t>
    </r>
    <r>
      <rPr>
        <b/>
        <vertAlign val="subscript"/>
        <sz val="11"/>
        <color theme="1"/>
        <rFont val="Calibri"/>
        <family val="2"/>
        <scheme val="minor"/>
      </rPr>
      <t>32+t-1</t>
    </r>
  </si>
  <si>
    <t>The company will also have to incur any costs associated with setting up the policy.</t>
  </si>
  <si>
    <t>Independent Critical illness rate</t>
  </si>
  <si>
    <t>(iii)</t>
  </si>
  <si>
    <t>(iv)</t>
  </si>
  <si>
    <t>DPP</t>
  </si>
  <si>
    <t>Unit fund at EOY</t>
  </si>
  <si>
    <t>(aq)x death</t>
  </si>
  <si>
    <t>Allocation rate</t>
  </si>
  <si>
    <t>at the start of the first policy year.</t>
  </si>
  <si>
    <t>of the premium payable at the start of the first policy year.</t>
  </si>
  <si>
    <t>of the premiums payable at the start of each subsequent policy year.</t>
  </si>
  <si>
    <t>You should assume that deaths and critical illness diagnoses occur uniformly across each policy year.</t>
  </si>
  <si>
    <t>payable annually in advance.</t>
  </si>
  <si>
    <t>per annum, at the start of each subsequent policy year.</t>
  </si>
  <si>
    <t>Independent mortality and critical illness diagnosis rates are given by the table.</t>
  </si>
  <si>
    <t>per annum effective.</t>
  </si>
  <si>
    <t>exact.</t>
  </si>
  <si>
    <t>years.</t>
  </si>
  <si>
    <t>per annum, payable at the end of each policy year by unit cancellation.</t>
  </si>
  <si>
    <t>Independent Mortality rate</t>
  </si>
  <si>
    <t>Year End cashflow</t>
  </si>
  <si>
    <t>Net present value</t>
  </si>
  <si>
    <t>Accumulated Profit End of Year</t>
  </si>
  <si>
    <t>Net Present Value</t>
  </si>
  <si>
    <t>For picking up correct probability</t>
  </si>
  <si>
    <t>Probability Policy in force at year start</t>
  </si>
  <si>
    <t>(ii) (a)</t>
  </si>
  <si>
    <t>(b)</t>
  </si>
  <si>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p</t>
    </r>
    <r>
      <rPr>
        <b/>
        <vertAlign val="subscript"/>
        <sz val="11"/>
        <color theme="1"/>
        <rFont val="Calibri"/>
        <family val="2"/>
        <scheme val="minor"/>
      </rPr>
      <t>x</t>
    </r>
  </si>
  <si>
    <t>Loan outstanding at start</t>
  </si>
  <si>
    <t>Loan outstanding at end</t>
  </si>
  <si>
    <r>
      <t>(ap)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</si>
  <si>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(aq)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death</t>
    </r>
  </si>
  <si>
    <r>
      <t>(aq)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Critical Ill</t>
    </r>
  </si>
  <si>
    <r>
      <rPr>
        <b/>
        <vertAlign val="subscript"/>
        <sz val="11"/>
        <color theme="1"/>
        <rFont val="Calibri"/>
        <family val="2"/>
        <scheme val="minor"/>
      </rPr>
      <t>t-1</t>
    </r>
    <r>
      <rPr>
        <b/>
        <sz val="11"/>
        <color theme="1"/>
        <rFont val="Calibri"/>
        <family val="2"/>
        <scheme val="minor"/>
      </rPr>
      <t>(ap)</t>
    </r>
    <r>
      <rPr>
        <b/>
        <vertAlign val="subscript"/>
        <sz val="11"/>
        <color theme="1"/>
        <rFont val="Calibri"/>
        <family val="2"/>
        <scheme val="minor"/>
      </rPr>
      <t>x</t>
    </r>
  </si>
  <si>
    <t>See seperate sheet</t>
  </si>
  <si>
    <t>Interest rate for pricing the decreasing term assurance</t>
  </si>
  <si>
    <t>Loan outstanding at beginning of each policy year</t>
  </si>
  <si>
    <t>Annual premium</t>
  </si>
  <si>
    <t>Allocation rate for all policy years</t>
  </si>
  <si>
    <t>Another problem is that the benefit received from the DTA will not be quite enough to settle the outstanding loan</t>
  </si>
  <si>
    <t>As the benefit amount is based on the loan outstanding at the start of the year it does not allow for the interest due over the year of death.</t>
  </si>
  <si>
    <t>To solve this the benefit amount could be increased to include the interest due  over the year</t>
  </si>
  <si>
    <t>EPV [Death Benefit]</t>
  </si>
  <si>
    <t>EPV [Maturity]</t>
  </si>
  <si>
    <t>EPV [Benefits]</t>
  </si>
  <si>
    <t>Probability of death</t>
  </si>
  <si>
    <t>PV of 1 p.a.</t>
  </si>
  <si>
    <t>Alternative methods</t>
  </si>
  <si>
    <t>Total Annual Premium</t>
  </si>
  <si>
    <t>DTA Annual Premium</t>
  </si>
  <si>
    <t>Alternative: Cumulative NPV to EOY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</si>
</sst>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[$£-809]* #,##0_-;\-[$£-809]* #,##0_-;_-[$£-809]* &quot;-&quot;??_-;_-@_-"/>
    <numFmt numFmtId="167" formatCode="_-* #,##0.0000_-;\-* #,##0.0000_-;_-* &quot;-&quot;??_-;_-@_-"/>
    <numFmt numFmtId="168" formatCode="_-* #,##0.000000_-;\-* #,##0.000000_-;_-* &quot;-&quot;??_-;_-@_-"/>
    <numFmt numFmtId="169" formatCode="_-* #,##0.0000000_-;\-* #,##0.0000000_-;_-* &quot;-&quot;??_-;_-@_-"/>
    <numFmt numFmtId="170" formatCode="_-[$£-809]* #,##0.00_-;\-[$£-809]* #,##0.00_-;_-[$£-809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right"/>
    </xf>
    <xf numFmtId="9" fontId="0" fillId="0" borderId="0" xfId="0" applyNumberFormat="1"/>
    <xf numFmtId="0" fontId="0" fillId="0" borderId="0" xfId="0" quotePrefix="1" applyAlignment="1">
      <alignment horizontal="right"/>
    </xf>
    <xf numFmtId="44" fontId="0" fillId="0" borderId="0" xfId="2" applyFont="1"/>
    <xf numFmtId="44" fontId="0" fillId="0" borderId="0" xfId="0" applyNumberFormat="1"/>
    <xf numFmtId="10" fontId="0" fillId="0" borderId="0" xfId="3" applyNumberFormat="1" applyFont="1"/>
    <xf numFmtId="0" fontId="2" fillId="0" borderId="0" xfId="0" applyFont="1"/>
    <xf numFmtId="9" fontId="2" fillId="0" borderId="0" xfId="0" applyNumberFormat="1" applyFont="1"/>
    <xf numFmtId="43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6" fontId="0" fillId="0" borderId="0" xfId="0" applyNumberFormat="1"/>
    <xf numFmtId="0" fontId="4" fillId="0" borderId="4" xfId="0" applyFont="1" applyBorder="1"/>
    <xf numFmtId="6" fontId="2" fillId="0" borderId="0" xfId="0" applyNumberFormat="1" applyFont="1"/>
    <xf numFmtId="0" fontId="0" fillId="0" borderId="0" xfId="0" applyAlignment="1">
      <alignment wrapText="1"/>
    </xf>
    <xf numFmtId="43" fontId="0" fillId="0" borderId="0" xfId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/>
    <xf numFmtId="0" fontId="4" fillId="0" borderId="0" xfId="0" applyFont="1"/>
    <xf numFmtId="0" fontId="0" fillId="0" borderId="4" xfId="0" applyBorder="1"/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/>
    <xf numFmtId="10" fontId="0" fillId="0" borderId="0" xfId="0" applyNumberFormat="1" applyFill="1"/>
    <xf numFmtId="165" fontId="0" fillId="0" borderId="0" xfId="0" applyNumberFormat="1" applyFill="1"/>
    <xf numFmtId="0" fontId="5" fillId="0" borderId="0" xfId="0" applyFont="1" applyFill="1" applyAlignment="1">
      <alignment horizontal="center" wrapText="1"/>
    </xf>
    <xf numFmtId="164" fontId="0" fillId="0" borderId="0" xfId="1" applyNumberFormat="1" applyFont="1" applyFill="1"/>
    <xf numFmtId="164" fontId="0" fillId="0" borderId="0" xfId="0" applyNumberForma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/>
    <xf numFmtId="9" fontId="2" fillId="0" borderId="0" xfId="0" applyNumberFormat="1" applyFont="1" applyFill="1"/>
    <xf numFmtId="0" fontId="5" fillId="0" borderId="0" xfId="0" applyFont="1" applyFill="1" applyAlignment="1">
      <alignment wrapText="1"/>
    </xf>
    <xf numFmtId="164" fontId="2" fillId="0" borderId="0" xfId="1" applyNumberFormat="1" applyFont="1" applyFill="1"/>
    <xf numFmtId="43" fontId="0" fillId="0" borderId="0" xfId="0" applyNumberFormat="1" applyFill="1"/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5" fillId="0" borderId="0" xfId="0" applyFont="1" applyFill="1"/>
    <xf numFmtId="0" fontId="0" fillId="0" borderId="0" xfId="0" applyFill="1" applyAlignment="1">
      <alignment horizontal="right"/>
    </xf>
    <xf numFmtId="44" fontId="0" fillId="0" borderId="0" xfId="2" applyFont="1" applyFill="1"/>
    <xf numFmtId="44" fontId="0" fillId="0" borderId="0" xfId="0" applyNumberFormat="1" applyFill="1"/>
    <xf numFmtId="10" fontId="0" fillId="0" borderId="0" xfId="3" applyNumberFormat="1" applyFont="1" applyFill="1"/>
    <xf numFmtId="0" fontId="0" fillId="0" borderId="0" xfId="0" applyFill="1" applyAlignment="1">
      <alignment horizontal="center"/>
    </xf>
    <xf numFmtId="166" fontId="0" fillId="0" borderId="0" xfId="0" applyNumberFormat="1" applyFill="1"/>
    <xf numFmtId="0" fontId="0" fillId="0" borderId="0" xfId="0" quotePrefix="1" applyFill="1" applyAlignment="1">
      <alignment horizontal="right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right"/>
    </xf>
    <xf numFmtId="170" fontId="0" fillId="0" borderId="0" xfId="0" applyNumberFormat="1" applyFill="1"/>
    <xf numFmtId="0" fontId="5" fillId="0" borderId="0" xfId="0" applyFont="1" applyFill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0" xfId="0" applyFill="1" applyBorder="1"/>
    <xf numFmtId="0" fontId="0" fillId="0" borderId="9" xfId="0" applyFill="1" applyBorder="1"/>
    <xf numFmtId="0" fontId="5" fillId="0" borderId="8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168" fontId="0" fillId="0" borderId="0" xfId="1" applyNumberFormat="1" applyFont="1" applyFill="1"/>
    <xf numFmtId="0" fontId="0" fillId="0" borderId="0" xfId="1" applyNumberFormat="1" applyFont="1" applyFill="1"/>
    <xf numFmtId="43" fontId="0" fillId="0" borderId="0" xfId="1" applyFont="1" applyFill="1"/>
    <xf numFmtId="6" fontId="2" fillId="0" borderId="0" xfId="0" applyNumberFormat="1" applyFont="1" applyFill="1"/>
    <xf numFmtId="165" fontId="2" fillId="0" borderId="0" xfId="0" applyNumberFormat="1" applyFont="1" applyFill="1"/>
    <xf numFmtId="6" fontId="0" fillId="0" borderId="0" xfId="1" applyNumberFormat="1" applyFont="1" applyFill="1"/>
    <xf numFmtId="169" fontId="0" fillId="0" borderId="0" xfId="0" applyNumberFormat="1" applyFill="1"/>
    <xf numFmtId="167" fontId="0" fillId="0" borderId="0" xfId="0" applyNumberFormat="1" applyFill="1"/>
    <xf numFmtId="9" fontId="0" fillId="0" borderId="0" xfId="3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4FD9B-614A-40B0-B6BD-07BE12071ABE}">
  <dimension ref="A2:C29"/>
  <sheetViews>
    <sheetView tabSelected="1" workbookViewId="0">
      <selection activeCell="B9" sqref="B9"/>
    </sheetView>
  </sheetViews>
  <sheetFormatPr defaultRowHeight="15" x14ac:dyDescent="0.25"/>
  <cols>
    <col min="2" max="3" width="12.140625" bestFit="1" customWidth="1"/>
  </cols>
  <sheetData>
    <row r="2" spans="1:3" x14ac:dyDescent="0.25">
      <c r="B2" t="s">
        <v>36</v>
      </c>
      <c r="C2" t="s">
        <v>38</v>
      </c>
    </row>
    <row r="4" spans="1:3" x14ac:dyDescent="0.25">
      <c r="A4" t="s">
        <v>23</v>
      </c>
      <c r="B4" t="s">
        <v>39</v>
      </c>
      <c r="C4" t="s">
        <v>39</v>
      </c>
    </row>
    <row r="5" spans="1:3" x14ac:dyDescent="0.25">
      <c r="A5">
        <v>1</v>
      </c>
      <c r="B5" s="10">
        <v>-500000</v>
      </c>
      <c r="C5" s="10">
        <v>-1000000</v>
      </c>
    </row>
    <row r="6" spans="1:3" x14ac:dyDescent="0.25">
      <c r="A6">
        <v>2</v>
      </c>
      <c r="B6" s="10">
        <v>-150000</v>
      </c>
      <c r="C6" s="10">
        <v>125000</v>
      </c>
    </row>
    <row r="7" spans="1:3" x14ac:dyDescent="0.25">
      <c r="A7">
        <v>3</v>
      </c>
      <c r="B7" s="10">
        <v>-25000</v>
      </c>
      <c r="C7" s="10">
        <v>125000</v>
      </c>
    </row>
    <row r="8" spans="1:3" x14ac:dyDescent="0.25">
      <c r="A8">
        <v>4</v>
      </c>
      <c r="B8" s="10">
        <v>-25000</v>
      </c>
      <c r="C8" s="10">
        <v>125000</v>
      </c>
    </row>
    <row r="9" spans="1:3" x14ac:dyDescent="0.25">
      <c r="A9">
        <v>5</v>
      </c>
      <c r="B9" s="10">
        <v>-25000</v>
      </c>
      <c r="C9" s="10">
        <v>125000</v>
      </c>
    </row>
    <row r="10" spans="1:3" x14ac:dyDescent="0.25">
      <c r="A10">
        <v>6</v>
      </c>
      <c r="B10" s="10">
        <v>127500</v>
      </c>
      <c r="C10" s="10">
        <v>125000</v>
      </c>
    </row>
    <row r="11" spans="1:3" x14ac:dyDescent="0.25">
      <c r="A11">
        <v>7</v>
      </c>
      <c r="B11" s="10">
        <v>130050</v>
      </c>
      <c r="C11" s="10">
        <v>125000</v>
      </c>
    </row>
    <row r="12" spans="1:3" x14ac:dyDescent="0.25">
      <c r="A12">
        <v>8</v>
      </c>
      <c r="B12" s="10">
        <v>132651</v>
      </c>
      <c r="C12" s="10">
        <v>125000</v>
      </c>
    </row>
    <row r="13" spans="1:3" x14ac:dyDescent="0.25">
      <c r="A13">
        <v>9</v>
      </c>
      <c r="B13" s="10">
        <v>135304.01999999999</v>
      </c>
      <c r="C13" s="10">
        <v>125000</v>
      </c>
    </row>
    <row r="14" spans="1:3" x14ac:dyDescent="0.25">
      <c r="A14">
        <v>10</v>
      </c>
      <c r="B14" s="10">
        <v>-111989.8996</v>
      </c>
      <c r="C14" s="10">
        <v>-125000</v>
      </c>
    </row>
    <row r="15" spans="1:3" x14ac:dyDescent="0.25">
      <c r="A15">
        <v>11</v>
      </c>
      <c r="B15" s="10">
        <v>140770.30240799999</v>
      </c>
      <c r="C15" s="10">
        <v>125000</v>
      </c>
    </row>
    <row r="16" spans="1:3" x14ac:dyDescent="0.25">
      <c r="A16">
        <v>12</v>
      </c>
      <c r="B16" s="10">
        <v>143585.70845615998</v>
      </c>
      <c r="C16" s="10">
        <v>125000</v>
      </c>
    </row>
    <row r="17" spans="1:3" x14ac:dyDescent="0.25">
      <c r="A17">
        <v>13</v>
      </c>
      <c r="B17" s="10">
        <v>146457.42262528319</v>
      </c>
      <c r="C17" s="10">
        <v>125000</v>
      </c>
    </row>
    <row r="18" spans="1:3" x14ac:dyDescent="0.25">
      <c r="A18">
        <v>14</v>
      </c>
      <c r="B18" s="10">
        <v>149386.57107778886</v>
      </c>
      <c r="C18" s="10">
        <v>125000</v>
      </c>
    </row>
    <row r="19" spans="1:3" x14ac:dyDescent="0.25">
      <c r="A19">
        <v>15</v>
      </c>
      <c r="B19" s="10">
        <v>-97625.697500655369</v>
      </c>
      <c r="C19" s="10">
        <v>125000</v>
      </c>
    </row>
    <row r="20" spans="1:3" x14ac:dyDescent="0.25">
      <c r="A20">
        <v>16</v>
      </c>
      <c r="B20" s="10">
        <v>155421.78854933151</v>
      </c>
      <c r="C20" s="10">
        <v>125000</v>
      </c>
    </row>
    <row r="21" spans="1:3" x14ac:dyDescent="0.25">
      <c r="A21">
        <v>17</v>
      </c>
      <c r="B21" s="10">
        <v>158530.22432031814</v>
      </c>
      <c r="C21" s="10">
        <v>125000</v>
      </c>
    </row>
    <row r="22" spans="1:3" x14ac:dyDescent="0.25">
      <c r="A22">
        <v>18</v>
      </c>
      <c r="B22" s="10">
        <v>161700.82880672452</v>
      </c>
      <c r="C22" s="10">
        <v>125000</v>
      </c>
    </row>
    <row r="23" spans="1:3" x14ac:dyDescent="0.25">
      <c r="A23">
        <v>19</v>
      </c>
      <c r="B23" s="10">
        <v>164934.845382859</v>
      </c>
      <c r="C23" s="10">
        <v>125000</v>
      </c>
    </row>
    <row r="24" spans="1:3" x14ac:dyDescent="0.25">
      <c r="A24">
        <v>20</v>
      </c>
      <c r="B24" s="10">
        <v>-81766.457709483831</v>
      </c>
      <c r="C24" s="10">
        <v>125000</v>
      </c>
    </row>
    <row r="25" spans="1:3" x14ac:dyDescent="0.25">
      <c r="A25">
        <v>21</v>
      </c>
      <c r="B25" s="10">
        <v>171598.21313632649</v>
      </c>
      <c r="C25" s="10">
        <v>125000</v>
      </c>
    </row>
    <row r="26" spans="1:3" x14ac:dyDescent="0.25">
      <c r="A26">
        <v>22</v>
      </c>
      <c r="B26" s="10">
        <v>175030.17739905303</v>
      </c>
      <c r="C26" s="10">
        <v>125000</v>
      </c>
    </row>
    <row r="27" spans="1:3" x14ac:dyDescent="0.25">
      <c r="A27">
        <v>23</v>
      </c>
      <c r="B27" s="10">
        <v>178530.7809470341</v>
      </c>
      <c r="C27" s="10">
        <v>0</v>
      </c>
    </row>
    <row r="28" spans="1:3" x14ac:dyDescent="0.25">
      <c r="A28">
        <v>24</v>
      </c>
      <c r="B28" s="10">
        <v>182101.39656597478</v>
      </c>
      <c r="C28" s="10">
        <v>0</v>
      </c>
    </row>
    <row r="29" spans="1:3" x14ac:dyDescent="0.25">
      <c r="A29">
        <v>25</v>
      </c>
      <c r="B29" s="10">
        <v>185743.42449729427</v>
      </c>
      <c r="C29" s="10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CFE08-1D02-4BE0-9C4C-01D8878D00CD}">
  <dimension ref="B2:M16"/>
  <sheetViews>
    <sheetView workbookViewId="0">
      <selection activeCell="C17" sqref="C17"/>
    </sheetView>
  </sheetViews>
  <sheetFormatPr defaultRowHeight="15" x14ac:dyDescent="0.25"/>
  <cols>
    <col min="12" max="12" width="10.42578125" customWidth="1"/>
    <col min="13" max="13" width="9.140625" style="22"/>
  </cols>
  <sheetData>
    <row r="2" spans="2:13" x14ac:dyDescent="0.25">
      <c r="B2" t="s">
        <v>28</v>
      </c>
      <c r="M2" s="22" t="s">
        <v>96</v>
      </c>
    </row>
    <row r="4" spans="2:13" x14ac:dyDescent="0.25">
      <c r="B4" t="s">
        <v>29</v>
      </c>
      <c r="M4" s="22" t="s">
        <v>96</v>
      </c>
    </row>
    <row r="6" spans="2:13" x14ac:dyDescent="0.25">
      <c r="B6" t="s">
        <v>128</v>
      </c>
      <c r="M6" s="22" t="s">
        <v>96</v>
      </c>
    </row>
    <row r="8" spans="2:13" x14ac:dyDescent="0.25">
      <c r="B8" t="s">
        <v>31</v>
      </c>
      <c r="M8" s="22" t="s">
        <v>96</v>
      </c>
    </row>
    <row r="10" spans="2:13" x14ac:dyDescent="0.25">
      <c r="B10" t="s">
        <v>168</v>
      </c>
      <c r="M10" s="22" t="s">
        <v>96</v>
      </c>
    </row>
    <row r="12" spans="2:13" ht="30.75" customHeight="1" x14ac:dyDescent="0.25">
      <c r="B12" s="34" t="s">
        <v>169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25" t="s">
        <v>96</v>
      </c>
    </row>
    <row r="14" spans="2:13" x14ac:dyDescent="0.25">
      <c r="B14" t="s">
        <v>170</v>
      </c>
      <c r="M14" s="25" t="s">
        <v>96</v>
      </c>
    </row>
    <row r="16" spans="2:13" x14ac:dyDescent="0.25">
      <c r="M16" s="22" t="s">
        <v>99</v>
      </c>
    </row>
  </sheetData>
  <mergeCells count="1">
    <mergeCell ref="B12:L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DF54-C7E0-4CD7-B46F-15EAF60F7CBB}">
  <dimension ref="A1:P31"/>
  <sheetViews>
    <sheetView workbookViewId="0">
      <selection activeCell="H1" sqref="H1"/>
    </sheetView>
  </sheetViews>
  <sheetFormatPr defaultRowHeight="15" x14ac:dyDescent="0.25"/>
  <cols>
    <col min="2" max="2" width="6.140625" bestFit="1" customWidth="1"/>
    <col min="3" max="3" width="16.28515625" customWidth="1"/>
    <col min="5" max="5" width="9.140625" style="23"/>
    <col min="6" max="6" width="11.5703125" bestFit="1" customWidth="1"/>
    <col min="8" max="8" width="11.5703125" bestFit="1" customWidth="1"/>
    <col min="10" max="10" width="10.5703125" bestFit="1" customWidth="1"/>
  </cols>
  <sheetData>
    <row r="1" spans="1:16" ht="45" x14ac:dyDescent="0.25">
      <c r="A1" t="s">
        <v>100</v>
      </c>
      <c r="B1" s="21" t="s">
        <v>126</v>
      </c>
      <c r="C1" s="30" t="s">
        <v>165</v>
      </c>
      <c r="E1" s="23" t="s">
        <v>101</v>
      </c>
      <c r="F1" s="5" t="s">
        <v>166</v>
      </c>
      <c r="H1" s="5">
        <f>'Q3 (i) and (ii)'!S4</f>
        <v>0</v>
      </c>
    </row>
    <row r="2" spans="1:16" x14ac:dyDescent="0.25">
      <c r="B2">
        <v>1</v>
      </c>
      <c r="C2" s="4">
        <f>'Q3 (i) and (ii)'!B10</f>
        <v>200000</v>
      </c>
    </row>
    <row r="3" spans="1:16" x14ac:dyDescent="0.25">
      <c r="B3">
        <v>2</v>
      </c>
      <c r="C3" s="4">
        <f>'Q3 (i) and (ii)'!B11</f>
        <v>197238.9220641221</v>
      </c>
      <c r="E3" s="23" t="s">
        <v>130</v>
      </c>
      <c r="F3" t="s">
        <v>28</v>
      </c>
    </row>
    <row r="4" spans="1:16" x14ac:dyDescent="0.25">
      <c r="B4">
        <v>3</v>
      </c>
      <c r="C4" s="4">
        <f>'Q3 (i) and (ii)'!B12</f>
        <v>194325.9848417709</v>
      </c>
    </row>
    <row r="5" spans="1:16" x14ac:dyDescent="0.25">
      <c r="B5">
        <v>4</v>
      </c>
      <c r="C5" s="4">
        <f>'Q3 (i) and (ii)'!B13</f>
        <v>191252.83607219037</v>
      </c>
      <c r="F5" t="s">
        <v>29</v>
      </c>
    </row>
    <row r="6" spans="1:16" x14ac:dyDescent="0.25">
      <c r="B6">
        <v>5</v>
      </c>
      <c r="C6" s="4">
        <f>'Q3 (i) and (ii)'!B14</f>
        <v>188010.66412028292</v>
      </c>
    </row>
    <row r="7" spans="1:16" x14ac:dyDescent="0.25">
      <c r="B7">
        <v>6</v>
      </c>
      <c r="C7" s="4">
        <f>'Q3 (i) and (ii)'!B15</f>
        <v>184590.17271102057</v>
      </c>
      <c r="F7" t="s">
        <v>30</v>
      </c>
    </row>
    <row r="8" spans="1:16" x14ac:dyDescent="0.25">
      <c r="B8">
        <v>7</v>
      </c>
      <c r="C8" s="4">
        <f>'Q3 (i) and (ii)'!B16</f>
        <v>180981.55427424877</v>
      </c>
    </row>
    <row r="9" spans="1:16" x14ac:dyDescent="0.25">
      <c r="B9">
        <v>8</v>
      </c>
      <c r="C9" s="4">
        <f>'Q3 (i) and (ii)'!B17</f>
        <v>177174.46182345453</v>
      </c>
      <c r="F9" t="s">
        <v>31</v>
      </c>
    </row>
    <row r="10" spans="1:16" x14ac:dyDescent="0.25">
      <c r="B10">
        <v>9</v>
      </c>
      <c r="C10" s="4">
        <f>'Q3 (i) and (ii)'!B18</f>
        <v>173157.97928786662</v>
      </c>
    </row>
    <row r="11" spans="1:16" x14ac:dyDescent="0.25">
      <c r="B11">
        <v>10</v>
      </c>
      <c r="C11" s="4">
        <f>'Q3 (i) and (ii)'!B19</f>
        <v>168920.59021282138</v>
      </c>
      <c r="F11" t="s">
        <v>168</v>
      </c>
    </row>
    <row r="12" spans="1:16" x14ac:dyDescent="0.25">
      <c r="B12">
        <v>11</v>
      </c>
      <c r="C12" s="4">
        <f>'Q3 (i) and (ii)'!B20</f>
        <v>164450.14473864864</v>
      </c>
    </row>
    <row r="13" spans="1:16" x14ac:dyDescent="0.25">
      <c r="B13">
        <v>12</v>
      </c>
      <c r="C13" s="4">
        <f>'Q3 (i) and (ii)'!B21</f>
        <v>159733.82476339641</v>
      </c>
      <c r="F13" s="34" t="s">
        <v>169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" x14ac:dyDescent="0.25">
      <c r="B14">
        <v>13</v>
      </c>
      <c r="C14" s="4">
        <f>'Q3 (i) and (ii)'!B22</f>
        <v>154758.1071895053</v>
      </c>
    </row>
    <row r="15" spans="1:16" x14ac:dyDescent="0.25">
      <c r="B15">
        <v>14</v>
      </c>
      <c r="C15" s="4">
        <f>'Q3 (i) and (ii)'!B23</f>
        <v>149508.72514905018</v>
      </c>
      <c r="F15" t="s">
        <v>170</v>
      </c>
    </row>
    <row r="16" spans="1:16" x14ac:dyDescent="0.25">
      <c r="B16">
        <v>15</v>
      </c>
      <c r="C16" s="4">
        <f>'Q3 (i) and (ii)'!B24</f>
        <v>143970.62709637004</v>
      </c>
    </row>
    <row r="17" spans="2:3" x14ac:dyDescent="0.25">
      <c r="B17">
        <v>16</v>
      </c>
      <c r="C17" s="4">
        <f>'Q3 (i) and (ii)'!B25</f>
        <v>138127.93365079249</v>
      </c>
    </row>
    <row r="18" spans="2:3" x14ac:dyDescent="0.25">
      <c r="B18">
        <v>17</v>
      </c>
      <c r="C18" s="4">
        <f>'Q3 (i) and (ii)'!B26</f>
        <v>131963.89206570818</v>
      </c>
    </row>
    <row r="19" spans="2:3" x14ac:dyDescent="0.25">
      <c r="B19">
        <v>18</v>
      </c>
      <c r="C19" s="4">
        <f>'Q3 (i) and (ii)'!B27</f>
        <v>125460.82819344422</v>
      </c>
    </row>
    <row r="20" spans="2:3" x14ac:dyDescent="0.25">
      <c r="B20">
        <v>19</v>
      </c>
      <c r="C20" s="4">
        <f>'Q3 (i) and (ii)'!B28</f>
        <v>118600.09580820575</v>
      </c>
    </row>
    <row r="21" spans="2:3" x14ac:dyDescent="0.25">
      <c r="B21">
        <v>20</v>
      </c>
      <c r="C21" s="4">
        <f>'Q3 (i) and (ii)'!B29</f>
        <v>111362.02314177915</v>
      </c>
    </row>
    <row r="22" spans="2:3" x14ac:dyDescent="0.25">
      <c r="B22">
        <v>21</v>
      </c>
      <c r="C22" s="4">
        <f>'Q3 (i) and (ii)'!B30</f>
        <v>103725.85647869909</v>
      </c>
    </row>
    <row r="23" spans="2:3" x14ac:dyDescent="0.25">
      <c r="B23">
        <v>22</v>
      </c>
      <c r="C23" s="4">
        <f>'Q3 (i) and (ii)'!B31</f>
        <v>95669.700649149629</v>
      </c>
    </row>
    <row r="24" spans="2:3" x14ac:dyDescent="0.25">
      <c r="B24">
        <v>23</v>
      </c>
      <c r="C24" s="4">
        <f>'Q3 (i) and (ii)'!B32</f>
        <v>87170.456248974951</v>
      </c>
    </row>
    <row r="25" spans="2:3" x14ac:dyDescent="0.25">
      <c r="B25">
        <v>24</v>
      </c>
      <c r="C25" s="4">
        <f>'Q3 (i) and (ii)'!B33</f>
        <v>78203.753406790667</v>
      </c>
    </row>
    <row r="26" spans="2:3" x14ac:dyDescent="0.25">
      <c r="B26">
        <v>25</v>
      </c>
      <c r="C26" s="4">
        <f>'Q3 (i) and (ii)'!B34</f>
        <v>68743.881908286246</v>
      </c>
    </row>
    <row r="27" spans="2:3" x14ac:dyDescent="0.25">
      <c r="B27">
        <v>26</v>
      </c>
      <c r="C27" s="4">
        <f>'Q3 (i) and (ii)'!B35</f>
        <v>58763.71747736408</v>
      </c>
    </row>
    <row r="28" spans="2:3" x14ac:dyDescent="0.25">
      <c r="B28">
        <v>27</v>
      </c>
      <c r="C28" s="4">
        <f>'Q3 (i) and (ii)'!B36</f>
        <v>48234.644002741195</v>
      </c>
    </row>
    <row r="29" spans="2:3" x14ac:dyDescent="0.25">
      <c r="B29">
        <v>28</v>
      </c>
      <c r="C29" s="4">
        <f>'Q3 (i) and (ii)'!B37</f>
        <v>37126.471487014052</v>
      </c>
    </row>
    <row r="30" spans="2:3" x14ac:dyDescent="0.25">
      <c r="B30">
        <v>29</v>
      </c>
      <c r="C30" s="4">
        <f>'Q3 (i) and (ii)'!B38</f>
        <v>25407.349482921913</v>
      </c>
    </row>
    <row r="31" spans="2:3" x14ac:dyDescent="0.25">
      <c r="B31">
        <v>30</v>
      </c>
      <c r="C31" s="4">
        <f>'Q3 (i) and (ii)'!B39</f>
        <v>13043.675768604708</v>
      </c>
    </row>
  </sheetData>
  <mergeCells count="1">
    <mergeCell ref="F13:P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0605-BDEE-4D1E-A107-CAF2A7A46EC8}">
  <dimension ref="B2:H46"/>
  <sheetViews>
    <sheetView workbookViewId="0">
      <selection sqref="A1:XFD1048576"/>
    </sheetView>
  </sheetViews>
  <sheetFormatPr defaultRowHeight="15" x14ac:dyDescent="0.25"/>
  <cols>
    <col min="3" max="4" width="13.7109375" customWidth="1"/>
    <col min="6" max="6" width="33.42578125" bestFit="1" customWidth="1"/>
    <col min="16" max="16" width="14.42578125" customWidth="1"/>
  </cols>
  <sheetData>
    <row r="2" spans="2:8" x14ac:dyDescent="0.25">
      <c r="F2" s="20" t="s">
        <v>54</v>
      </c>
    </row>
    <row r="3" spans="2:8" ht="15" customHeight="1" x14ac:dyDescent="0.25">
      <c r="B3" s="35" t="s">
        <v>7</v>
      </c>
      <c r="C3" s="35" t="s">
        <v>105</v>
      </c>
      <c r="D3" s="35" t="s">
        <v>129</v>
      </c>
    </row>
    <row r="4" spans="2:8" x14ac:dyDescent="0.25">
      <c r="B4" s="36"/>
      <c r="C4" s="36"/>
      <c r="D4" s="36"/>
      <c r="F4" t="s">
        <v>55</v>
      </c>
      <c r="G4">
        <v>30</v>
      </c>
      <c r="H4" t="s">
        <v>144</v>
      </c>
    </row>
    <row r="5" spans="2:8" ht="14.25" customHeight="1" x14ac:dyDescent="0.25">
      <c r="B5" s="37"/>
      <c r="C5" s="37"/>
      <c r="D5" s="37"/>
      <c r="F5" t="s">
        <v>56</v>
      </c>
      <c r="G5">
        <v>20</v>
      </c>
      <c r="H5" t="s">
        <v>145</v>
      </c>
    </row>
    <row r="6" spans="2:8" x14ac:dyDescent="0.25">
      <c r="B6" s="13">
        <v>30</v>
      </c>
      <c r="C6" s="14">
        <v>5.04E-4</v>
      </c>
      <c r="D6" s="29">
        <v>4.0000000000000002E-4</v>
      </c>
      <c r="F6" t="s">
        <v>57</v>
      </c>
      <c r="G6" s="15">
        <v>15000</v>
      </c>
    </row>
    <row r="7" spans="2:8" x14ac:dyDescent="0.25">
      <c r="B7" s="13">
        <v>31</v>
      </c>
      <c r="C7" s="14">
        <v>5.4100000000000003E-4</v>
      </c>
      <c r="D7" s="29">
        <v>4.0000000000000002E-4</v>
      </c>
      <c r="F7" t="s">
        <v>58</v>
      </c>
      <c r="G7" s="15">
        <v>2000</v>
      </c>
      <c r="H7" t="s">
        <v>140</v>
      </c>
    </row>
    <row r="8" spans="2:8" x14ac:dyDescent="0.25">
      <c r="B8" s="13">
        <v>32</v>
      </c>
      <c r="C8" s="14">
        <v>5.7499999999999999E-4</v>
      </c>
      <c r="D8" s="29">
        <v>4.4999999999999999E-4</v>
      </c>
      <c r="F8" t="s">
        <v>167</v>
      </c>
      <c r="G8" s="2">
        <v>0.95</v>
      </c>
    </row>
    <row r="9" spans="2:8" x14ac:dyDescent="0.25">
      <c r="B9" s="13">
        <v>33</v>
      </c>
      <c r="C9" s="14">
        <v>6.1200000000000002E-4</v>
      </c>
      <c r="D9" s="29">
        <v>4.4999999999999999E-4</v>
      </c>
      <c r="F9" t="s">
        <v>59</v>
      </c>
      <c r="G9" s="2">
        <v>0.01</v>
      </c>
    </row>
    <row r="10" spans="2:8" x14ac:dyDescent="0.25">
      <c r="B10" s="13">
        <v>34</v>
      </c>
      <c r="C10" s="14">
        <v>6.5300000000000004E-4</v>
      </c>
      <c r="D10" s="29">
        <v>5.0000000000000001E-4</v>
      </c>
      <c r="F10" t="s">
        <v>60</v>
      </c>
      <c r="G10" s="11">
        <v>5.0000000000000001E-3</v>
      </c>
      <c r="H10" t="s">
        <v>146</v>
      </c>
    </row>
    <row r="11" spans="2:8" x14ac:dyDescent="0.25">
      <c r="B11" s="13">
        <v>35</v>
      </c>
      <c r="C11" s="16">
        <v>6.96E-4</v>
      </c>
      <c r="D11" s="29">
        <v>5.5000000000000003E-4</v>
      </c>
    </row>
    <row r="12" spans="2:8" x14ac:dyDescent="0.25">
      <c r="B12" s="13">
        <v>36</v>
      </c>
      <c r="C12" s="16">
        <v>7.4700000000000005E-4</v>
      </c>
      <c r="D12" s="29">
        <v>5.9999999999999995E-4</v>
      </c>
    </row>
    <row r="13" spans="2:8" x14ac:dyDescent="0.25">
      <c r="B13" s="13">
        <v>37</v>
      </c>
      <c r="C13" s="16">
        <v>8.0199999999999998E-4</v>
      </c>
      <c r="D13" s="29">
        <v>6.9999999999999999E-4</v>
      </c>
    </row>
    <row r="14" spans="2:8" x14ac:dyDescent="0.25">
      <c r="B14" s="13">
        <v>38</v>
      </c>
      <c r="C14" s="16">
        <v>8.5400000000000005E-4</v>
      </c>
      <c r="D14" s="29">
        <v>8.9999999999999998E-4</v>
      </c>
    </row>
    <row r="15" spans="2:8" x14ac:dyDescent="0.25">
      <c r="B15" s="13">
        <v>39</v>
      </c>
      <c r="C15" s="16">
        <v>9.01E-4</v>
      </c>
      <c r="D15" s="29">
        <v>1E-3</v>
      </c>
      <c r="F15" s="20" t="s">
        <v>61</v>
      </c>
    </row>
    <row r="16" spans="2:8" x14ac:dyDescent="0.25">
      <c r="B16" s="13">
        <v>40</v>
      </c>
      <c r="C16" s="16">
        <v>9.4899999999999997E-4</v>
      </c>
      <c r="D16" s="29">
        <v>1E-3</v>
      </c>
    </row>
    <row r="17" spans="2:8" x14ac:dyDescent="0.25">
      <c r="B17" s="13">
        <v>41</v>
      </c>
      <c r="C17" s="16">
        <v>1.0070000000000001E-3</v>
      </c>
      <c r="D17" s="29">
        <v>1.1000000000000001E-3</v>
      </c>
      <c r="F17" t="s">
        <v>62</v>
      </c>
      <c r="G17" s="2">
        <v>0.04</v>
      </c>
      <c r="H17" t="s">
        <v>143</v>
      </c>
    </row>
    <row r="18" spans="2:8" x14ac:dyDescent="0.25">
      <c r="B18" s="13">
        <v>42</v>
      </c>
      <c r="C18" s="16">
        <v>1.083E-3</v>
      </c>
      <c r="D18" s="29">
        <v>1.1999999999999999E-3</v>
      </c>
      <c r="F18" t="s">
        <v>63</v>
      </c>
      <c r="G18" s="2">
        <v>0.01</v>
      </c>
      <c r="H18" t="s">
        <v>143</v>
      </c>
    </row>
    <row r="19" spans="2:8" x14ac:dyDescent="0.25">
      <c r="B19" s="13">
        <v>43</v>
      </c>
      <c r="C19" s="16">
        <v>1.1789999999999999E-3</v>
      </c>
      <c r="D19" s="29">
        <v>1.1999999999999999E-3</v>
      </c>
      <c r="F19" t="s">
        <v>64</v>
      </c>
      <c r="G19" s="2">
        <v>7.0000000000000007E-2</v>
      </c>
      <c r="H19" t="s">
        <v>143</v>
      </c>
    </row>
    <row r="20" spans="2:8" x14ac:dyDescent="0.25">
      <c r="B20" s="13">
        <v>44</v>
      </c>
      <c r="C20" s="16">
        <v>1.2999999999999999E-3</v>
      </c>
      <c r="D20" s="29">
        <v>1.2999999999999999E-3</v>
      </c>
    </row>
    <row r="21" spans="2:8" x14ac:dyDescent="0.25">
      <c r="B21" s="13">
        <v>45</v>
      </c>
      <c r="C21" s="16">
        <v>1.4469999999999999E-3</v>
      </c>
      <c r="D21" s="29">
        <v>1.4E-3</v>
      </c>
      <c r="F21" t="s">
        <v>142</v>
      </c>
    </row>
    <row r="22" spans="2:8" x14ac:dyDescent="0.25">
      <c r="B22" s="13">
        <v>46</v>
      </c>
      <c r="C22" s="16">
        <v>1.614E-3</v>
      </c>
      <c r="D22" s="29">
        <v>1.5E-3</v>
      </c>
      <c r="F22" t="s">
        <v>139</v>
      </c>
    </row>
    <row r="23" spans="2:8" x14ac:dyDescent="0.25">
      <c r="B23" s="13">
        <v>47</v>
      </c>
      <c r="C23" s="16">
        <v>1.805E-3</v>
      </c>
      <c r="D23" s="29">
        <v>1.6000000000000001E-3</v>
      </c>
    </row>
    <row r="24" spans="2:8" x14ac:dyDescent="0.25">
      <c r="B24" s="13">
        <v>48</v>
      </c>
      <c r="C24" s="16">
        <v>2.029E-3</v>
      </c>
      <c r="D24" s="29">
        <v>1.8E-3</v>
      </c>
      <c r="F24" t="s">
        <v>65</v>
      </c>
      <c r="G24" s="15">
        <v>75</v>
      </c>
      <c r="H24" t="s">
        <v>136</v>
      </c>
    </row>
    <row r="25" spans="2:8" x14ac:dyDescent="0.25">
      <c r="B25" s="13">
        <v>49</v>
      </c>
      <c r="C25" s="16">
        <v>2.2889999999999998E-3</v>
      </c>
      <c r="D25" s="29">
        <v>2E-3</v>
      </c>
      <c r="F25" t="s">
        <v>66</v>
      </c>
      <c r="G25" s="15">
        <v>25</v>
      </c>
      <c r="H25" t="s">
        <v>141</v>
      </c>
    </row>
    <row r="26" spans="2:8" x14ac:dyDescent="0.25">
      <c r="B26" s="13">
        <v>50</v>
      </c>
      <c r="C26" s="16">
        <v>2.5850000000000001E-3</v>
      </c>
      <c r="D26" s="16">
        <v>2.3E-3</v>
      </c>
      <c r="F26" t="s">
        <v>67</v>
      </c>
      <c r="G26" s="2">
        <v>0.5</v>
      </c>
      <c r="H26" t="s">
        <v>137</v>
      </c>
    </row>
    <row r="27" spans="2:8" x14ac:dyDescent="0.25">
      <c r="B27" s="13">
        <v>51</v>
      </c>
      <c r="C27" s="16">
        <v>2.908E-3</v>
      </c>
      <c r="D27" s="16">
        <v>2.5000000000000001E-3</v>
      </c>
      <c r="F27" t="s">
        <v>68</v>
      </c>
      <c r="G27" s="2">
        <v>0.01</v>
      </c>
      <c r="H27" t="s">
        <v>138</v>
      </c>
    </row>
    <row r="28" spans="2:8" x14ac:dyDescent="0.25">
      <c r="B28" s="13">
        <v>52</v>
      </c>
      <c r="C28" s="16">
        <v>3.2599999999999999E-3</v>
      </c>
      <c r="D28" s="16">
        <v>2.8E-3</v>
      </c>
    </row>
    <row r="29" spans="2:8" x14ac:dyDescent="0.25">
      <c r="B29" s="13">
        <v>53</v>
      </c>
      <c r="C29" s="16">
        <v>3.6449999999999998E-3</v>
      </c>
      <c r="D29" s="16">
        <v>2.8999999999999998E-3</v>
      </c>
    </row>
    <row r="30" spans="2:8" x14ac:dyDescent="0.25">
      <c r="B30" s="13">
        <v>54</v>
      </c>
      <c r="C30" s="16">
        <v>4.0639999999999999E-3</v>
      </c>
      <c r="D30" s="16">
        <v>3.0999999999999999E-3</v>
      </c>
    </row>
    <row r="31" spans="2:8" x14ac:dyDescent="0.25">
      <c r="B31" s="13">
        <v>55</v>
      </c>
      <c r="C31" s="16">
        <v>4.5170000000000002E-3</v>
      </c>
      <c r="D31" s="16">
        <v>3.3E-3</v>
      </c>
    </row>
    <row r="32" spans="2:8" x14ac:dyDescent="0.25">
      <c r="B32" s="13">
        <v>56</v>
      </c>
      <c r="C32" s="16">
        <v>5.0020000000000004E-3</v>
      </c>
      <c r="D32" s="16">
        <v>3.5000000000000001E-3</v>
      </c>
    </row>
    <row r="33" spans="2:4" x14ac:dyDescent="0.25">
      <c r="B33" s="13">
        <v>57</v>
      </c>
      <c r="C33" s="16">
        <v>5.5149999999999999E-3</v>
      </c>
      <c r="D33" s="16">
        <v>3.7000000000000002E-3</v>
      </c>
    </row>
    <row r="34" spans="2:4" x14ac:dyDescent="0.25">
      <c r="B34" s="13">
        <v>58</v>
      </c>
      <c r="C34" s="16">
        <v>6.0530000000000002E-3</v>
      </c>
      <c r="D34" s="16">
        <v>4.0000000000000001E-3</v>
      </c>
    </row>
    <row r="35" spans="2:4" x14ac:dyDescent="0.25">
      <c r="B35" s="13">
        <v>59</v>
      </c>
      <c r="C35" s="16">
        <v>6.613E-3</v>
      </c>
      <c r="D35" s="16">
        <v>4.4999999999999997E-3</v>
      </c>
    </row>
    <row r="36" spans="2:4" x14ac:dyDescent="0.25">
      <c r="B36" s="13">
        <v>60</v>
      </c>
      <c r="C36" s="16">
        <v>7.1980000000000004E-3</v>
      </c>
      <c r="D36" s="16">
        <v>5.0000000000000001E-3</v>
      </c>
    </row>
    <row r="37" spans="2:4" x14ac:dyDescent="0.25">
      <c r="B37" s="28"/>
    </row>
    <row r="38" spans="2:4" x14ac:dyDescent="0.25">
      <c r="B38" s="28"/>
    </row>
    <row r="39" spans="2:4" x14ac:dyDescent="0.25">
      <c r="B39" s="28"/>
    </row>
    <row r="40" spans="2:4" x14ac:dyDescent="0.25">
      <c r="B40" s="28"/>
    </row>
    <row r="41" spans="2:4" x14ac:dyDescent="0.25">
      <c r="B41" s="28"/>
    </row>
    <row r="42" spans="2:4" x14ac:dyDescent="0.25">
      <c r="B42" s="28"/>
    </row>
    <row r="43" spans="2:4" x14ac:dyDescent="0.25">
      <c r="B43" s="28"/>
    </row>
    <row r="44" spans="2:4" x14ac:dyDescent="0.25">
      <c r="B44" s="28"/>
    </row>
    <row r="45" spans="2:4" x14ac:dyDescent="0.25">
      <c r="B45" s="28"/>
    </row>
    <row r="46" spans="2:4" x14ac:dyDescent="0.25">
      <c r="B46" s="28"/>
    </row>
  </sheetData>
  <mergeCells count="3">
    <mergeCell ref="B3:B5"/>
    <mergeCell ref="C3:C5"/>
    <mergeCell ref="D3:D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1385-B543-431A-AE13-82000207CC70}">
  <dimension ref="B1:I23"/>
  <sheetViews>
    <sheetView workbookViewId="0">
      <selection activeCell="G27" sqref="G27"/>
    </sheetView>
  </sheetViews>
  <sheetFormatPr defaultRowHeight="15" x14ac:dyDescent="0.25"/>
  <cols>
    <col min="3" max="3" width="10.5703125" bestFit="1" customWidth="1"/>
    <col min="4" max="5" width="9.5703125" bestFit="1" customWidth="1"/>
    <col min="6" max="6" width="9.28515625" bestFit="1" customWidth="1"/>
    <col min="7" max="7" width="16.7109375" customWidth="1"/>
    <col min="8" max="8" width="9.5703125" bestFit="1" customWidth="1"/>
    <col min="9" max="9" width="10.5703125" bestFit="1" customWidth="1"/>
  </cols>
  <sheetData>
    <row r="1" spans="2:9" s="22" customFormat="1" x14ac:dyDescent="0.25">
      <c r="D1" s="22" t="s">
        <v>96</v>
      </c>
      <c r="E1" s="22" t="s">
        <v>96</v>
      </c>
      <c r="F1" s="22" t="s">
        <v>96</v>
      </c>
      <c r="G1" s="22" t="s">
        <v>97</v>
      </c>
      <c r="H1" s="22" t="s">
        <v>96</v>
      </c>
      <c r="I1" s="22" t="s">
        <v>96</v>
      </c>
    </row>
    <row r="2" spans="2:9" x14ac:dyDescent="0.25">
      <c r="B2" s="20" t="s">
        <v>69</v>
      </c>
      <c r="D2" s="17">
        <v>2000</v>
      </c>
      <c r="E2" s="8">
        <v>0.95</v>
      </c>
      <c r="F2" s="8">
        <v>0.01</v>
      </c>
      <c r="G2" s="8">
        <v>0.04</v>
      </c>
      <c r="H2" s="27">
        <v>5.0000000000000001E-3</v>
      </c>
    </row>
    <row r="3" spans="2:9" s="30" customFormat="1" ht="45" x14ac:dyDescent="0.25">
      <c r="B3" s="30" t="s">
        <v>71</v>
      </c>
      <c r="C3" s="30" t="s">
        <v>72</v>
      </c>
      <c r="D3" s="30" t="s">
        <v>21</v>
      </c>
      <c r="E3" s="30" t="s">
        <v>73</v>
      </c>
      <c r="F3" s="30" t="s">
        <v>59</v>
      </c>
      <c r="G3" s="30" t="s">
        <v>111</v>
      </c>
      <c r="H3" s="30" t="s">
        <v>74</v>
      </c>
      <c r="I3" s="30" t="s">
        <v>75</v>
      </c>
    </row>
    <row r="4" spans="2:9" x14ac:dyDescent="0.25">
      <c r="B4">
        <v>1</v>
      </c>
      <c r="C4" s="19">
        <v>0</v>
      </c>
      <c r="D4" s="19">
        <f>$D$2</f>
        <v>2000</v>
      </c>
      <c r="E4" s="19">
        <f>D4*$E$2</f>
        <v>1900</v>
      </c>
      <c r="F4" s="19">
        <f>-$F$2*E4</f>
        <v>-19</v>
      </c>
      <c r="G4" s="19">
        <f t="shared" ref="G4:G23" si="0">SUM(C4,E4:F4)*(1+$G$2)</f>
        <v>1956.24</v>
      </c>
      <c r="H4" s="19">
        <f t="shared" ref="H4:H23" si="1">-G4*$H$2</f>
        <v>-9.7812000000000001</v>
      </c>
      <c r="I4" s="19">
        <f t="shared" ref="I4:I23" si="2">SUM(G4:H4)</f>
        <v>1946.4588000000001</v>
      </c>
    </row>
    <row r="5" spans="2:9" x14ac:dyDescent="0.25">
      <c r="B5">
        <v>2</v>
      </c>
      <c r="C5" s="19">
        <f>I4</f>
        <v>1946.4588000000001</v>
      </c>
      <c r="D5" s="19">
        <f t="shared" ref="D5:D23" si="3">$D$2</f>
        <v>2000</v>
      </c>
      <c r="E5" s="19">
        <f t="shared" ref="E5:E23" si="4">D5*$E$2</f>
        <v>1900</v>
      </c>
      <c r="F5" s="19">
        <f t="shared" ref="F5:F23" si="5">-$F$2*E5</f>
        <v>-19</v>
      </c>
      <c r="G5" s="19">
        <f t="shared" si="0"/>
        <v>3980.5571520000003</v>
      </c>
      <c r="H5" s="19">
        <f t="shared" si="1"/>
        <v>-19.90278576</v>
      </c>
      <c r="I5" s="19">
        <f t="shared" si="2"/>
        <v>3960.6543662400004</v>
      </c>
    </row>
    <row r="6" spans="2:9" x14ac:dyDescent="0.25">
      <c r="B6">
        <v>3</v>
      </c>
      <c r="C6" s="19">
        <f t="shared" ref="C6:C23" si="6">I5</f>
        <v>3960.6543662400004</v>
      </c>
      <c r="D6" s="19">
        <f t="shared" si="3"/>
        <v>2000</v>
      </c>
      <c r="E6" s="19">
        <f t="shared" si="4"/>
        <v>1900</v>
      </c>
      <c r="F6" s="19">
        <f t="shared" si="5"/>
        <v>-19</v>
      </c>
      <c r="G6" s="19">
        <f t="shared" si="0"/>
        <v>6075.3205408896001</v>
      </c>
      <c r="H6" s="19">
        <f t="shared" si="1"/>
        <v>-30.376602704448</v>
      </c>
      <c r="I6" s="19">
        <f t="shared" si="2"/>
        <v>6044.9439381851525</v>
      </c>
    </row>
    <row r="7" spans="2:9" x14ac:dyDescent="0.25">
      <c r="B7">
        <v>4</v>
      </c>
      <c r="C7" s="19">
        <f t="shared" si="6"/>
        <v>6044.9439381851525</v>
      </c>
      <c r="D7" s="19">
        <f t="shared" si="3"/>
        <v>2000</v>
      </c>
      <c r="E7" s="19">
        <f t="shared" si="4"/>
        <v>1900</v>
      </c>
      <c r="F7" s="19">
        <f t="shared" si="5"/>
        <v>-19</v>
      </c>
      <c r="G7" s="19">
        <f t="shared" si="0"/>
        <v>8242.9816957125586</v>
      </c>
      <c r="H7" s="19">
        <f t="shared" si="1"/>
        <v>-41.214908478562791</v>
      </c>
      <c r="I7" s="19">
        <f t="shared" si="2"/>
        <v>8201.7667872339953</v>
      </c>
    </row>
    <row r="8" spans="2:9" x14ac:dyDescent="0.25">
      <c r="B8">
        <v>5</v>
      </c>
      <c r="C8" s="19">
        <f t="shared" si="6"/>
        <v>8201.7667872339953</v>
      </c>
      <c r="D8" s="19">
        <f t="shared" si="3"/>
        <v>2000</v>
      </c>
      <c r="E8" s="19">
        <f t="shared" si="4"/>
        <v>1900</v>
      </c>
      <c r="F8" s="19">
        <f t="shared" si="5"/>
        <v>-19</v>
      </c>
      <c r="G8" s="19">
        <f t="shared" si="0"/>
        <v>10486.077458723355</v>
      </c>
      <c r="H8" s="19">
        <f t="shared" si="1"/>
        <v>-52.430387293616775</v>
      </c>
      <c r="I8" s="19">
        <f t="shared" si="2"/>
        <v>10433.647071429739</v>
      </c>
    </row>
    <row r="9" spans="2:9" x14ac:dyDescent="0.25">
      <c r="B9">
        <v>6</v>
      </c>
      <c r="C9" s="19">
        <f t="shared" si="6"/>
        <v>10433.647071429739</v>
      </c>
      <c r="D9" s="19">
        <f t="shared" si="3"/>
        <v>2000</v>
      </c>
      <c r="E9" s="19">
        <f t="shared" si="4"/>
        <v>1900</v>
      </c>
      <c r="F9" s="19">
        <f t="shared" si="5"/>
        <v>-19</v>
      </c>
      <c r="G9" s="19">
        <f t="shared" si="0"/>
        <v>12807.23295428693</v>
      </c>
      <c r="H9" s="19">
        <f t="shared" si="1"/>
        <v>-64.036164771434656</v>
      </c>
      <c r="I9" s="19">
        <f t="shared" si="2"/>
        <v>12743.196789515496</v>
      </c>
    </row>
    <row r="10" spans="2:9" x14ac:dyDescent="0.25">
      <c r="B10">
        <v>7</v>
      </c>
      <c r="C10" s="19">
        <f t="shared" si="6"/>
        <v>12743.196789515496</v>
      </c>
      <c r="D10" s="19">
        <f t="shared" si="3"/>
        <v>2000</v>
      </c>
      <c r="E10" s="19">
        <f t="shared" si="4"/>
        <v>1900</v>
      </c>
      <c r="F10" s="19">
        <f t="shared" si="5"/>
        <v>-19</v>
      </c>
      <c r="G10" s="19">
        <f t="shared" si="0"/>
        <v>15209.164661096116</v>
      </c>
      <c r="H10" s="19">
        <f t="shared" si="1"/>
        <v>-76.045823305480582</v>
      </c>
      <c r="I10" s="19">
        <f t="shared" si="2"/>
        <v>15133.118837790635</v>
      </c>
    </row>
    <row r="11" spans="2:9" x14ac:dyDescent="0.25">
      <c r="B11">
        <v>8</v>
      </c>
      <c r="C11" s="19">
        <f t="shared" si="6"/>
        <v>15133.118837790635</v>
      </c>
      <c r="D11" s="19">
        <f t="shared" si="3"/>
        <v>2000</v>
      </c>
      <c r="E11" s="19">
        <f t="shared" si="4"/>
        <v>1900</v>
      </c>
      <c r="F11" s="19">
        <f t="shared" si="5"/>
        <v>-19</v>
      </c>
      <c r="G11" s="19">
        <f t="shared" si="0"/>
        <v>17694.683591302262</v>
      </c>
      <c r="H11" s="19">
        <f t="shared" si="1"/>
        <v>-88.473417956511312</v>
      </c>
      <c r="I11" s="19">
        <f t="shared" si="2"/>
        <v>17606.210173345749</v>
      </c>
    </row>
    <row r="12" spans="2:9" x14ac:dyDescent="0.25">
      <c r="B12">
        <v>9</v>
      </c>
      <c r="C12" s="19">
        <f t="shared" si="6"/>
        <v>17606.210173345749</v>
      </c>
      <c r="D12" s="19">
        <f t="shared" si="3"/>
        <v>2000</v>
      </c>
      <c r="E12" s="19">
        <f t="shared" si="4"/>
        <v>1900</v>
      </c>
      <c r="F12" s="19">
        <f t="shared" si="5"/>
        <v>-19</v>
      </c>
      <c r="G12" s="19">
        <f t="shared" si="0"/>
        <v>20266.698580279579</v>
      </c>
      <c r="H12" s="19">
        <f t="shared" si="1"/>
        <v>-101.3334929013979</v>
      </c>
      <c r="I12" s="19">
        <f t="shared" si="2"/>
        <v>20165.365087378181</v>
      </c>
    </row>
    <row r="13" spans="2:9" x14ac:dyDescent="0.25">
      <c r="B13">
        <v>10</v>
      </c>
      <c r="C13" s="19">
        <f t="shared" si="6"/>
        <v>20165.365087378181</v>
      </c>
      <c r="D13" s="19">
        <f t="shared" si="3"/>
        <v>2000</v>
      </c>
      <c r="E13" s="19">
        <f t="shared" si="4"/>
        <v>1900</v>
      </c>
      <c r="F13" s="19">
        <f t="shared" si="5"/>
        <v>-19</v>
      </c>
      <c r="G13" s="19">
        <f t="shared" si="0"/>
        <v>22928.219690873309</v>
      </c>
      <c r="H13" s="19">
        <f t="shared" si="1"/>
        <v>-114.64109845436656</v>
      </c>
      <c r="I13" s="19">
        <f t="shared" si="2"/>
        <v>22813.578592418944</v>
      </c>
    </row>
    <row r="14" spans="2:9" x14ac:dyDescent="0.25">
      <c r="B14">
        <v>11</v>
      </c>
      <c r="C14" s="19">
        <f t="shared" si="6"/>
        <v>22813.578592418944</v>
      </c>
      <c r="D14" s="19">
        <f t="shared" si="3"/>
        <v>2000</v>
      </c>
      <c r="E14" s="19">
        <f t="shared" si="4"/>
        <v>1900</v>
      </c>
      <c r="F14" s="19">
        <f t="shared" si="5"/>
        <v>-19</v>
      </c>
      <c r="G14" s="19">
        <f t="shared" si="0"/>
        <v>25682.361736115701</v>
      </c>
      <c r="H14" s="19">
        <f t="shared" si="1"/>
        <v>-128.4118086805785</v>
      </c>
      <c r="I14" s="19">
        <f t="shared" si="2"/>
        <v>25553.949927435122</v>
      </c>
    </row>
    <row r="15" spans="2:9" x14ac:dyDescent="0.25">
      <c r="B15">
        <v>12</v>
      </c>
      <c r="C15" s="19">
        <f t="shared" si="6"/>
        <v>25553.949927435122</v>
      </c>
      <c r="D15" s="19">
        <f t="shared" si="3"/>
        <v>2000</v>
      </c>
      <c r="E15" s="19">
        <f t="shared" si="4"/>
        <v>1900</v>
      </c>
      <c r="F15" s="19">
        <f t="shared" si="5"/>
        <v>-19</v>
      </c>
      <c r="G15" s="19">
        <f t="shared" si="0"/>
        <v>28532.347924532529</v>
      </c>
      <c r="H15" s="19">
        <f t="shared" si="1"/>
        <v>-142.66173962266265</v>
      </c>
      <c r="I15" s="19">
        <f t="shared" si="2"/>
        <v>28389.686184909868</v>
      </c>
    </row>
    <row r="16" spans="2:9" x14ac:dyDescent="0.25">
      <c r="B16">
        <v>13</v>
      </c>
      <c r="C16" s="19">
        <f t="shared" si="6"/>
        <v>28389.686184909868</v>
      </c>
      <c r="D16" s="19">
        <f t="shared" si="3"/>
        <v>2000</v>
      </c>
      <c r="E16" s="19">
        <f t="shared" si="4"/>
        <v>1900</v>
      </c>
      <c r="F16" s="19">
        <f t="shared" si="5"/>
        <v>-19</v>
      </c>
      <c r="G16" s="19">
        <f t="shared" si="0"/>
        <v>31481.513632306265</v>
      </c>
      <c r="H16" s="19">
        <f t="shared" si="1"/>
        <v>-157.40756816153132</v>
      </c>
      <c r="I16" s="19">
        <f t="shared" si="2"/>
        <v>31324.106064144733</v>
      </c>
    </row>
    <row r="17" spans="2:9" x14ac:dyDescent="0.25">
      <c r="B17">
        <v>14</v>
      </c>
      <c r="C17" s="19">
        <f t="shared" si="6"/>
        <v>31324.106064144733</v>
      </c>
      <c r="D17" s="19">
        <f t="shared" si="3"/>
        <v>2000</v>
      </c>
      <c r="E17" s="19">
        <f t="shared" si="4"/>
        <v>1900</v>
      </c>
      <c r="F17" s="19">
        <f t="shared" si="5"/>
        <v>-19</v>
      </c>
      <c r="G17" s="19">
        <f t="shared" si="0"/>
        <v>34533.310306710526</v>
      </c>
      <c r="H17" s="19">
        <f t="shared" si="1"/>
        <v>-172.66655153355262</v>
      </c>
      <c r="I17" s="19">
        <f t="shared" si="2"/>
        <v>34360.64375517697</v>
      </c>
    </row>
    <row r="18" spans="2:9" x14ac:dyDescent="0.25">
      <c r="B18">
        <v>15</v>
      </c>
      <c r="C18" s="19">
        <f t="shared" si="6"/>
        <v>34360.64375517697</v>
      </c>
      <c r="D18" s="19">
        <f t="shared" si="3"/>
        <v>2000</v>
      </c>
      <c r="E18" s="19">
        <f t="shared" si="4"/>
        <v>1900</v>
      </c>
      <c r="F18" s="19">
        <f t="shared" si="5"/>
        <v>-19</v>
      </c>
      <c r="G18" s="19">
        <f t="shared" si="0"/>
        <v>37691.309505384052</v>
      </c>
      <c r="H18" s="19">
        <f t="shared" si="1"/>
        <v>-188.45654752692028</v>
      </c>
      <c r="I18" s="19">
        <f t="shared" si="2"/>
        <v>37502.852957857132</v>
      </c>
    </row>
    <row r="19" spans="2:9" x14ac:dyDescent="0.25">
      <c r="B19">
        <v>16</v>
      </c>
      <c r="C19" s="19">
        <f t="shared" si="6"/>
        <v>37502.852957857132</v>
      </c>
      <c r="D19" s="19">
        <f t="shared" si="3"/>
        <v>2000</v>
      </c>
      <c r="E19" s="19">
        <f t="shared" si="4"/>
        <v>1900</v>
      </c>
      <c r="F19" s="19">
        <f t="shared" si="5"/>
        <v>-19</v>
      </c>
      <c r="G19" s="19">
        <f t="shared" si="0"/>
        <v>40959.20707617142</v>
      </c>
      <c r="H19" s="19">
        <f t="shared" si="1"/>
        <v>-204.79603538085712</v>
      </c>
      <c r="I19" s="19">
        <f t="shared" si="2"/>
        <v>40754.411040790561</v>
      </c>
    </row>
    <row r="20" spans="2:9" x14ac:dyDescent="0.25">
      <c r="B20">
        <v>17</v>
      </c>
      <c r="C20" s="19">
        <f t="shared" si="6"/>
        <v>40754.411040790561</v>
      </c>
      <c r="D20" s="19">
        <f t="shared" si="3"/>
        <v>2000</v>
      </c>
      <c r="E20" s="19">
        <f t="shared" si="4"/>
        <v>1900</v>
      </c>
      <c r="F20" s="19">
        <f t="shared" si="5"/>
        <v>-19</v>
      </c>
      <c r="G20" s="19">
        <f t="shared" si="0"/>
        <v>44340.827482422188</v>
      </c>
      <c r="H20" s="19">
        <f t="shared" si="1"/>
        <v>-221.70413741211095</v>
      </c>
      <c r="I20" s="19">
        <f t="shared" si="2"/>
        <v>44119.123345010077</v>
      </c>
    </row>
    <row r="21" spans="2:9" x14ac:dyDescent="0.25">
      <c r="B21">
        <v>18</v>
      </c>
      <c r="C21" s="19">
        <f t="shared" si="6"/>
        <v>44119.123345010077</v>
      </c>
      <c r="D21" s="19">
        <f t="shared" si="3"/>
        <v>2000</v>
      </c>
      <c r="E21" s="19">
        <f t="shared" si="4"/>
        <v>1900</v>
      </c>
      <c r="F21" s="19">
        <f t="shared" si="5"/>
        <v>-19</v>
      </c>
      <c r="G21" s="19">
        <f t="shared" si="0"/>
        <v>47840.12827881048</v>
      </c>
      <c r="H21" s="19">
        <f t="shared" si="1"/>
        <v>-239.20064139405241</v>
      </c>
      <c r="I21" s="19">
        <f t="shared" si="2"/>
        <v>47600.927637416426</v>
      </c>
    </row>
    <row r="22" spans="2:9" x14ac:dyDescent="0.25">
      <c r="B22">
        <v>19</v>
      </c>
      <c r="C22" s="19">
        <f t="shared" si="6"/>
        <v>47600.927637416426</v>
      </c>
      <c r="D22" s="19">
        <f t="shared" si="3"/>
        <v>2000</v>
      </c>
      <c r="E22" s="19">
        <f t="shared" si="4"/>
        <v>1900</v>
      </c>
      <c r="F22" s="19">
        <f t="shared" si="5"/>
        <v>-19</v>
      </c>
      <c r="G22" s="19">
        <f t="shared" si="0"/>
        <v>51461.204742913083</v>
      </c>
      <c r="H22" s="19">
        <f t="shared" si="1"/>
        <v>-257.30602371456541</v>
      </c>
      <c r="I22" s="19">
        <f t="shared" si="2"/>
        <v>51203.898719198522</v>
      </c>
    </row>
    <row r="23" spans="2:9" x14ac:dyDescent="0.25">
      <c r="B23">
        <v>20</v>
      </c>
      <c r="C23" s="19">
        <f t="shared" si="6"/>
        <v>51203.898719198522</v>
      </c>
      <c r="D23" s="19">
        <f t="shared" si="3"/>
        <v>2000</v>
      </c>
      <c r="E23" s="19">
        <f t="shared" si="4"/>
        <v>1900</v>
      </c>
      <c r="F23" s="19">
        <f t="shared" si="5"/>
        <v>-19</v>
      </c>
      <c r="G23" s="19">
        <f t="shared" si="0"/>
        <v>55208.294667966467</v>
      </c>
      <c r="H23" s="19">
        <f t="shared" si="1"/>
        <v>-276.04147333983235</v>
      </c>
      <c r="I23" s="19">
        <f t="shared" si="2"/>
        <v>54932.253194626632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8435-6140-484C-A38F-60842352D2E5}">
  <dimension ref="B1:L28"/>
  <sheetViews>
    <sheetView workbookViewId="0">
      <selection sqref="A1:XFD1048576"/>
    </sheetView>
  </sheetViews>
  <sheetFormatPr defaultRowHeight="15" x14ac:dyDescent="0.25"/>
  <cols>
    <col min="1" max="2" width="9.140625" style="41"/>
    <col min="3" max="3" width="13.140625" style="41" customWidth="1"/>
    <col min="4" max="4" width="13" style="41" customWidth="1"/>
    <col min="5" max="10" width="10.5703125" style="41" customWidth="1"/>
    <col min="11" max="16384" width="9.140625" style="41"/>
  </cols>
  <sheetData>
    <row r="1" spans="2:10" s="39" customFormat="1" x14ac:dyDescent="0.25">
      <c r="C1" s="55"/>
      <c r="D1" s="55"/>
      <c r="E1" s="39" t="s">
        <v>97</v>
      </c>
      <c r="F1" s="39" t="s">
        <v>96</v>
      </c>
      <c r="G1" s="39" t="s">
        <v>96</v>
      </c>
      <c r="H1" s="39" t="s">
        <v>97</v>
      </c>
      <c r="I1" s="39" t="s">
        <v>96</v>
      </c>
      <c r="J1" s="39" t="s">
        <v>96</v>
      </c>
    </row>
    <row r="3" spans="2:10" s="51" customFormat="1" ht="46.5" x14ac:dyDescent="0.35">
      <c r="B3" s="51" t="s">
        <v>71</v>
      </c>
      <c r="C3" s="51" t="s">
        <v>147</v>
      </c>
      <c r="D3" s="51" t="s">
        <v>129</v>
      </c>
      <c r="E3" s="51" t="s">
        <v>106</v>
      </c>
      <c r="F3" s="51" t="s">
        <v>107</v>
      </c>
      <c r="G3" s="51" t="s">
        <v>159</v>
      </c>
      <c r="H3" s="51" t="s">
        <v>160</v>
      </c>
      <c r="I3" s="51" t="s">
        <v>161</v>
      </c>
      <c r="J3" s="51" t="s">
        <v>162</v>
      </c>
    </row>
    <row r="4" spans="2:10" x14ac:dyDescent="0.25">
      <c r="B4" s="41">
        <v>1</v>
      </c>
      <c r="C4" s="80">
        <f>'Q4 Base'!C6</f>
        <v>5.04E-4</v>
      </c>
      <c r="D4" s="81">
        <f>'Q4 Base'!D6</f>
        <v>4.0000000000000002E-4</v>
      </c>
      <c r="E4" s="81">
        <f t="shared" ref="E4:F23" si="0">-LN(1-C4)</f>
        <v>5.0412705069077443E-4</v>
      </c>
      <c r="F4" s="81">
        <f t="shared" si="0"/>
        <v>4.0008002133969133E-4</v>
      </c>
      <c r="G4" s="81">
        <f t="shared" ref="G4:G23" si="1">(EXP(-SUM(E4:F4)))</f>
        <v>0.99909620160000012</v>
      </c>
      <c r="H4" s="81">
        <f t="shared" ref="H4:H23" si="2">(E4/SUM(E4:F4))*(1-G4)</f>
        <v>5.0389920174792385E-4</v>
      </c>
      <c r="I4" s="81">
        <f t="shared" ref="I4:I23" si="3">(F4/SUM(E4:F4))*(1-G4)</f>
        <v>3.9989919825195386E-4</v>
      </c>
      <c r="J4" s="82">
        <f>1</f>
        <v>1</v>
      </c>
    </row>
    <row r="5" spans="2:10" x14ac:dyDescent="0.25">
      <c r="B5" s="41">
        <v>2</v>
      </c>
      <c r="C5" s="80">
        <f>'Q4 Base'!C7</f>
        <v>5.4100000000000003E-4</v>
      </c>
      <c r="D5" s="81">
        <f>'Q4 Base'!D7</f>
        <v>4.0000000000000002E-4</v>
      </c>
      <c r="E5" s="81">
        <f t="shared" si="0"/>
        <v>5.4114639330157886E-4</v>
      </c>
      <c r="F5" s="81">
        <f t="shared" si="0"/>
        <v>4.0008002133969133E-4</v>
      </c>
      <c r="G5" s="81">
        <f t="shared" si="1"/>
        <v>0.99905921640000006</v>
      </c>
      <c r="H5" s="81">
        <f t="shared" si="2"/>
        <v>5.4089180254389304E-4</v>
      </c>
      <c r="I5" s="81">
        <f t="shared" si="3"/>
        <v>3.9989179745604617E-4</v>
      </c>
      <c r="J5" s="80">
        <f>G4*J4</f>
        <v>0.99909620160000012</v>
      </c>
    </row>
    <row r="6" spans="2:10" x14ac:dyDescent="0.25">
      <c r="B6" s="41">
        <v>3</v>
      </c>
      <c r="C6" s="80">
        <f>'Q4 Base'!C8</f>
        <v>5.7499999999999999E-4</v>
      </c>
      <c r="D6" s="81">
        <f>'Q4 Base'!D8</f>
        <v>4.4999999999999999E-4</v>
      </c>
      <c r="E6" s="81">
        <f t="shared" si="0"/>
        <v>5.7516537589712461E-4</v>
      </c>
      <c r="F6" s="81">
        <f t="shared" si="0"/>
        <v>4.5010128038520567E-4</v>
      </c>
      <c r="G6" s="81">
        <f t="shared" si="1"/>
        <v>0.99897525875000004</v>
      </c>
      <c r="H6" s="81">
        <f t="shared" si="2"/>
        <v>5.7487062769669692E-4</v>
      </c>
      <c r="I6" s="81">
        <f t="shared" si="3"/>
        <v>4.4987062230326393E-4</v>
      </c>
      <c r="J6" s="80">
        <f t="shared" ref="J6:J24" si="4">G5*J5</f>
        <v>0.99815626827871262</v>
      </c>
    </row>
    <row r="7" spans="2:10" x14ac:dyDescent="0.25">
      <c r="B7" s="41">
        <v>4</v>
      </c>
      <c r="C7" s="80">
        <f>'Q4 Base'!C9</f>
        <v>6.1200000000000002E-4</v>
      </c>
      <c r="D7" s="81">
        <f>'Q4 Base'!D9</f>
        <v>4.4999999999999999E-4</v>
      </c>
      <c r="E7" s="81">
        <f t="shared" si="0"/>
        <v>6.1218734844200988E-4</v>
      </c>
      <c r="F7" s="81">
        <f t="shared" si="0"/>
        <v>4.5010128038520567E-4</v>
      </c>
      <c r="G7" s="81">
        <f t="shared" si="1"/>
        <v>0.99893827540000013</v>
      </c>
      <c r="H7" s="81">
        <f t="shared" si="2"/>
        <v>6.1186230371980551E-4</v>
      </c>
      <c r="I7" s="81">
        <f t="shared" si="3"/>
        <v>4.4986229628006373E-4</v>
      </c>
      <c r="J7" s="80">
        <f t="shared" si="4"/>
        <v>0.99713341637666142</v>
      </c>
    </row>
    <row r="8" spans="2:10" x14ac:dyDescent="0.25">
      <c r="B8" s="41">
        <v>5</v>
      </c>
      <c r="C8" s="80">
        <f>'Q4 Base'!C10</f>
        <v>6.5300000000000004E-4</v>
      </c>
      <c r="D8" s="81">
        <f>'Q4 Base'!D10</f>
        <v>5.0000000000000001E-4</v>
      </c>
      <c r="E8" s="81">
        <f t="shared" si="0"/>
        <v>6.5321329736052025E-4</v>
      </c>
      <c r="F8" s="81">
        <f t="shared" si="0"/>
        <v>5.0012504168224286E-4</v>
      </c>
      <c r="G8" s="81">
        <f t="shared" si="1"/>
        <v>0.99884732650000008</v>
      </c>
      <c r="H8" s="81">
        <f t="shared" si="2"/>
        <v>6.5283675416527034E-4</v>
      </c>
      <c r="I8" s="81">
        <f t="shared" si="3"/>
        <v>4.9983674583465297E-4</v>
      </c>
      <c r="J8" s="80">
        <f t="shared" si="4"/>
        <v>0.99607473529901236</v>
      </c>
    </row>
    <row r="9" spans="2:10" x14ac:dyDescent="0.25">
      <c r="B9" s="41">
        <v>6</v>
      </c>
      <c r="C9" s="80">
        <f>'Q4 Base'!C11</f>
        <v>6.96E-4</v>
      </c>
      <c r="D9" s="81">
        <f>'Q4 Base'!D11</f>
        <v>5.5000000000000003E-4</v>
      </c>
      <c r="E9" s="81">
        <f t="shared" si="0"/>
        <v>6.9624232044323935E-4</v>
      </c>
      <c r="F9" s="81">
        <f t="shared" si="0"/>
        <v>5.501513054812704E-4</v>
      </c>
      <c r="G9" s="81">
        <f t="shared" si="1"/>
        <v>0.99875438279999995</v>
      </c>
      <c r="H9" s="81">
        <f t="shared" si="2"/>
        <v>6.9580860466031554E-4</v>
      </c>
      <c r="I9" s="81">
        <f t="shared" si="3"/>
        <v>5.4980859533973307E-4</v>
      </c>
      <c r="J9" s="80">
        <f t="shared" si="4"/>
        <v>0.99492658634761377</v>
      </c>
    </row>
    <row r="10" spans="2:10" x14ac:dyDescent="0.25">
      <c r="B10" s="41">
        <v>7</v>
      </c>
      <c r="C10" s="80">
        <f>'Q4 Base'!C12</f>
        <v>7.4700000000000005E-4</v>
      </c>
      <c r="D10" s="81">
        <f>'Q4 Base'!D12</f>
        <v>5.9999999999999995E-4</v>
      </c>
      <c r="E10" s="81">
        <f t="shared" si="0"/>
        <v>7.4727914352218426E-4</v>
      </c>
      <c r="F10" s="81">
        <f t="shared" si="0"/>
        <v>6.0018007203246058E-4</v>
      </c>
      <c r="G10" s="81">
        <f t="shared" si="1"/>
        <v>0.9986534481999999</v>
      </c>
      <c r="H10" s="81">
        <f t="shared" si="2"/>
        <v>7.4677590549420184E-4</v>
      </c>
      <c r="I10" s="81">
        <f t="shared" si="3"/>
        <v>5.9977589450589338E-4</v>
      </c>
      <c r="J10" s="80">
        <f t="shared" si="4"/>
        <v>0.99368728867892187</v>
      </c>
    </row>
    <row r="11" spans="2:10" x14ac:dyDescent="0.25">
      <c r="B11" s="41">
        <v>8</v>
      </c>
      <c r="C11" s="80">
        <f>'Q4 Base'!C13</f>
        <v>8.0199999999999998E-4</v>
      </c>
      <c r="D11" s="81">
        <f>'Q4 Base'!D13</f>
        <v>6.9999999999999999E-4</v>
      </c>
      <c r="E11" s="81">
        <f t="shared" si="0"/>
        <v>8.0232177405333298E-4</v>
      </c>
      <c r="F11" s="81">
        <f t="shared" si="0"/>
        <v>7.0024511439342589E-4</v>
      </c>
      <c r="G11" s="81">
        <f t="shared" si="1"/>
        <v>0.99849856140000004</v>
      </c>
      <c r="H11" s="81">
        <f t="shared" si="2"/>
        <v>8.0171930477543286E-4</v>
      </c>
      <c r="I11" s="81">
        <f t="shared" si="3"/>
        <v>6.9971929522452756E-4</v>
      </c>
      <c r="J11" s="80">
        <f t="shared" si="4"/>
        <v>0.99234923727171409</v>
      </c>
    </row>
    <row r="12" spans="2:10" x14ac:dyDescent="0.25">
      <c r="B12" s="41">
        <v>9</v>
      </c>
      <c r="C12" s="80">
        <f>'Q4 Base'!C14</f>
        <v>8.5400000000000005E-4</v>
      </c>
      <c r="D12" s="81">
        <f>'Q4 Base'!D14</f>
        <v>8.9999999999999998E-4</v>
      </c>
      <c r="E12" s="81">
        <f t="shared" si="0"/>
        <v>8.5436486574504242E-4</v>
      </c>
      <c r="F12" s="81">
        <f t="shared" si="0"/>
        <v>9.0040524316415511E-4</v>
      </c>
      <c r="G12" s="81">
        <f t="shared" si="1"/>
        <v>0.99824676859999995</v>
      </c>
      <c r="H12" s="81">
        <f t="shared" si="2"/>
        <v>8.5361569705114581E-4</v>
      </c>
      <c r="I12" s="81">
        <f t="shared" si="3"/>
        <v>8.9961570294890903E-4</v>
      </c>
      <c r="J12" s="80">
        <f t="shared" si="4"/>
        <v>0.99085928582219385</v>
      </c>
    </row>
    <row r="13" spans="2:10" x14ac:dyDescent="0.25">
      <c r="B13" s="41">
        <v>10</v>
      </c>
      <c r="C13" s="80">
        <f>'Q4 Base'!C15</f>
        <v>9.01E-4</v>
      </c>
      <c r="D13" s="81">
        <f>'Q4 Base'!D15</f>
        <v>1E-3</v>
      </c>
      <c r="E13" s="81">
        <f t="shared" si="0"/>
        <v>9.014061444758151E-4</v>
      </c>
      <c r="F13" s="81">
        <f t="shared" si="0"/>
        <v>1.0005003335835344E-3</v>
      </c>
      <c r="G13" s="81">
        <f t="shared" si="1"/>
        <v>0.99809990100000001</v>
      </c>
      <c r="H13" s="81">
        <f t="shared" si="2"/>
        <v>9.0054949255969372E-4</v>
      </c>
      <c r="I13" s="81">
        <f t="shared" si="3"/>
        <v>9.9954950744029483E-4</v>
      </c>
      <c r="J13" s="80">
        <f t="shared" si="4"/>
        <v>0.9891220802093087</v>
      </c>
    </row>
    <row r="14" spans="2:10" x14ac:dyDescent="0.25">
      <c r="B14" s="41">
        <v>11</v>
      </c>
      <c r="C14" s="80">
        <f>'Q4 Base'!C16</f>
        <v>9.4899999999999997E-4</v>
      </c>
      <c r="D14" s="81">
        <f>'Q4 Base'!D16</f>
        <v>1E-3</v>
      </c>
      <c r="E14" s="81">
        <f t="shared" si="0"/>
        <v>9.4945058559301853E-4</v>
      </c>
      <c r="F14" s="81">
        <f t="shared" si="0"/>
        <v>1.0005003335835344E-3</v>
      </c>
      <c r="G14" s="81">
        <f t="shared" si="1"/>
        <v>0.99805194900000005</v>
      </c>
      <c r="H14" s="81">
        <f t="shared" si="2"/>
        <v>9.4852549596278004E-4</v>
      </c>
      <c r="I14" s="81">
        <f t="shared" si="3"/>
        <v>9.9952550403717075E-4</v>
      </c>
      <c r="J14" s="80">
        <f t="shared" si="4"/>
        <v>0.98724265033382508</v>
      </c>
    </row>
    <row r="15" spans="2:10" x14ac:dyDescent="0.25">
      <c r="B15" s="41">
        <v>12</v>
      </c>
      <c r="C15" s="80">
        <f>'Q4 Base'!C17</f>
        <v>1.0070000000000001E-3</v>
      </c>
      <c r="D15" s="81">
        <f>'Q4 Base'!D17</f>
        <v>1.1000000000000001E-3</v>
      </c>
      <c r="E15" s="81">
        <f t="shared" si="0"/>
        <v>1.007507365139709E-3</v>
      </c>
      <c r="F15" s="81">
        <f t="shared" si="0"/>
        <v>1.1006054440330039E-3</v>
      </c>
      <c r="G15" s="81">
        <f t="shared" si="1"/>
        <v>0.99789410769999998</v>
      </c>
      <c r="H15" s="81">
        <f t="shared" si="2"/>
        <v>1.0064461414062773E-3</v>
      </c>
      <c r="I15" s="81">
        <f t="shared" si="3"/>
        <v>1.0994461585937456E-3</v>
      </c>
      <c r="J15" s="80">
        <f t="shared" si="4"/>
        <v>0.9853194513015997</v>
      </c>
    </row>
    <row r="16" spans="2:10" x14ac:dyDescent="0.25">
      <c r="B16" s="41">
        <v>13</v>
      </c>
      <c r="C16" s="80">
        <f>'Q4 Base'!C18</f>
        <v>1.083E-3</v>
      </c>
      <c r="D16" s="81">
        <f>'Q4 Base'!D18</f>
        <v>1.1999999999999999E-3</v>
      </c>
      <c r="E16" s="81">
        <f t="shared" si="0"/>
        <v>1.0835868682570894E-3</v>
      </c>
      <c r="F16" s="81">
        <f t="shared" si="0"/>
        <v>1.2007205765188771E-3</v>
      </c>
      <c r="G16" s="81">
        <f t="shared" si="1"/>
        <v>0.99771829960000002</v>
      </c>
      <c r="H16" s="81">
        <f t="shared" si="2"/>
        <v>1.0823501873143894E-3</v>
      </c>
      <c r="I16" s="81">
        <f t="shared" si="3"/>
        <v>1.1993502126855862E-3</v>
      </c>
      <c r="J16" s="80">
        <f t="shared" si="4"/>
        <v>0.98324447465606346</v>
      </c>
    </row>
    <row r="17" spans="2:12" x14ac:dyDescent="0.25">
      <c r="B17" s="41">
        <v>14</v>
      </c>
      <c r="C17" s="80">
        <f>'Q4 Base'!C19</f>
        <v>1.1789999999999999E-3</v>
      </c>
      <c r="D17" s="81">
        <f>'Q4 Base'!D19</f>
        <v>1.1999999999999999E-3</v>
      </c>
      <c r="E17" s="81">
        <f t="shared" si="0"/>
        <v>1.1796955672696637E-3</v>
      </c>
      <c r="F17" s="81">
        <f t="shared" si="0"/>
        <v>1.2007205765188771E-3</v>
      </c>
      <c r="G17" s="81">
        <f t="shared" si="1"/>
        <v>0.99762241480000002</v>
      </c>
      <c r="H17" s="81">
        <f t="shared" si="2"/>
        <v>1.1782925975211711E-3</v>
      </c>
      <c r="I17" s="81">
        <f t="shared" si="3"/>
        <v>1.1992926024788054E-3</v>
      </c>
      <c r="J17" s="80">
        <f t="shared" si="4"/>
        <v>0.98100100534494294</v>
      </c>
    </row>
    <row r="18" spans="2:12" x14ac:dyDescent="0.25">
      <c r="B18" s="41">
        <v>15</v>
      </c>
      <c r="C18" s="80">
        <f>'Q4 Base'!C20</f>
        <v>1.2999999999999999E-3</v>
      </c>
      <c r="D18" s="81">
        <f>'Q4 Base'!D20</f>
        <v>1.2999999999999999E-3</v>
      </c>
      <c r="E18" s="81">
        <f t="shared" si="0"/>
        <v>1.3008457330480696E-3</v>
      </c>
      <c r="F18" s="81">
        <f t="shared" si="0"/>
        <v>1.3008457330480696E-3</v>
      </c>
      <c r="G18" s="81">
        <f t="shared" si="1"/>
        <v>0.99740169000000012</v>
      </c>
      <c r="H18" s="81">
        <f t="shared" si="2"/>
        <v>1.2991549999999408E-3</v>
      </c>
      <c r="I18" s="81">
        <f t="shared" si="3"/>
        <v>1.2991549999999408E-3</v>
      </c>
      <c r="J18" s="80">
        <f t="shared" si="4"/>
        <v>0.97866859187344968</v>
      </c>
    </row>
    <row r="19" spans="2:12" x14ac:dyDescent="0.25">
      <c r="B19" s="41">
        <v>16</v>
      </c>
      <c r="C19" s="80">
        <f>'Q4 Base'!C21</f>
        <v>1.4469999999999999E-3</v>
      </c>
      <c r="D19" s="81">
        <f>'Q4 Base'!D21</f>
        <v>1.4E-3</v>
      </c>
      <c r="E19" s="81">
        <f t="shared" si="0"/>
        <v>1.4480479155111296E-3</v>
      </c>
      <c r="F19" s="81">
        <f t="shared" si="0"/>
        <v>1.4009809156281003E-3</v>
      </c>
      <c r="G19" s="81">
        <f t="shared" si="1"/>
        <v>0.99715502580000004</v>
      </c>
      <c r="H19" s="81">
        <f t="shared" si="2"/>
        <v>1.445987107945684E-3</v>
      </c>
      <c r="I19" s="81">
        <f t="shared" si="3"/>
        <v>1.3989870920542774E-3</v>
      </c>
      <c r="J19" s="80">
        <f t="shared" si="4"/>
        <v>0.97612570748449912</v>
      </c>
    </row>
    <row r="20" spans="2:12" x14ac:dyDescent="0.25">
      <c r="B20" s="41">
        <v>17</v>
      </c>
      <c r="C20" s="80">
        <f>'Q4 Base'!C22</f>
        <v>1.614E-3</v>
      </c>
      <c r="D20" s="81">
        <f>'Q4 Base'!D22</f>
        <v>1.5E-3</v>
      </c>
      <c r="E20" s="81">
        <f t="shared" si="0"/>
        <v>1.6153039011865468E-3</v>
      </c>
      <c r="F20" s="81">
        <f t="shared" si="0"/>
        <v>1.5011261262670914E-3</v>
      </c>
      <c r="G20" s="81">
        <f t="shared" si="1"/>
        <v>0.99688842100000008</v>
      </c>
      <c r="H20" s="81">
        <f t="shared" si="2"/>
        <v>1.6127895230353528E-3</v>
      </c>
      <c r="I20" s="81">
        <f t="shared" si="3"/>
        <v>1.4987894769645672E-3</v>
      </c>
      <c r="J20" s="80">
        <f t="shared" si="4"/>
        <v>0.97334865503074897</v>
      </c>
    </row>
    <row r="21" spans="2:12" x14ac:dyDescent="0.25">
      <c r="B21" s="41">
        <v>18</v>
      </c>
      <c r="C21" s="80">
        <f>'Q4 Base'!C23</f>
        <v>1.805E-3</v>
      </c>
      <c r="D21" s="81">
        <f>'Q4 Base'!D23</f>
        <v>1.6000000000000001E-3</v>
      </c>
      <c r="E21" s="81">
        <f t="shared" si="0"/>
        <v>1.8066309754025064E-3</v>
      </c>
      <c r="F21" s="81">
        <f t="shared" si="0"/>
        <v>1.6012813669738792E-3</v>
      </c>
      <c r="G21" s="81">
        <f t="shared" si="1"/>
        <v>0.99659788800000004</v>
      </c>
      <c r="H21" s="81">
        <f t="shared" si="2"/>
        <v>1.8035560494207281E-3</v>
      </c>
      <c r="I21" s="81">
        <f t="shared" si="3"/>
        <v>1.5985559505792288E-3</v>
      </c>
      <c r="J21" s="80">
        <f t="shared" si="4"/>
        <v>0.97032000379607708</v>
      </c>
    </row>
    <row r="22" spans="2:12" x14ac:dyDescent="0.25">
      <c r="B22" s="41">
        <v>19</v>
      </c>
      <c r="C22" s="80">
        <f>'Q4 Base'!C24</f>
        <v>2.029E-3</v>
      </c>
      <c r="D22" s="81">
        <f>'Q4 Base'!D24</f>
        <v>1.8E-3</v>
      </c>
      <c r="E22" s="81">
        <f t="shared" si="0"/>
        <v>2.0310612091007279E-3</v>
      </c>
      <c r="F22" s="81">
        <f t="shared" si="0"/>
        <v>1.8016219466282088E-3</v>
      </c>
      <c r="G22" s="81">
        <f t="shared" si="1"/>
        <v>0.99617465220000001</v>
      </c>
      <c r="H22" s="81">
        <f t="shared" si="2"/>
        <v>2.0271739698297878E-3</v>
      </c>
      <c r="I22" s="81">
        <f t="shared" si="3"/>
        <v>1.7981738301702016E-3</v>
      </c>
      <c r="J22" s="80">
        <f t="shared" si="4"/>
        <v>0.96701886646732249</v>
      </c>
    </row>
    <row r="23" spans="2:12" x14ac:dyDescent="0.25">
      <c r="B23" s="41">
        <v>20</v>
      </c>
      <c r="C23" s="80">
        <f>'Q4 Base'!C25</f>
        <v>2.2889999999999998E-3</v>
      </c>
      <c r="D23" s="81">
        <f>'Q4 Base'!D25</f>
        <v>2E-3</v>
      </c>
      <c r="E23" s="81">
        <f t="shared" si="0"/>
        <v>2.2916237651302452E-3</v>
      </c>
      <c r="F23" s="81">
        <f t="shared" si="0"/>
        <v>2.0020026706730793E-3</v>
      </c>
      <c r="G23" s="81">
        <f t="shared" si="1"/>
        <v>0.99571557799999999</v>
      </c>
      <c r="H23" s="81">
        <f t="shared" si="2"/>
        <v>2.2867111104904279E-3</v>
      </c>
      <c r="I23" s="81">
        <f t="shared" si="3"/>
        <v>1.9977108895095821E-3</v>
      </c>
      <c r="J23" s="80">
        <f t="shared" si="4"/>
        <v>0.96331968297392323</v>
      </c>
    </row>
    <row r="24" spans="2:12" x14ac:dyDescent="0.25">
      <c r="J24" s="80">
        <f t="shared" si="4"/>
        <v>0.9591924149311567</v>
      </c>
      <c r="K24" s="39" t="s">
        <v>96</v>
      </c>
      <c r="L24" s="55" t="s">
        <v>152</v>
      </c>
    </row>
    <row r="27" spans="2:12" x14ac:dyDescent="0.25">
      <c r="K27" s="39"/>
    </row>
    <row r="28" spans="2:12" x14ac:dyDescent="0.25">
      <c r="K28" s="3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E246E-7A7F-4A8A-9E8D-CA43CF55E25E}">
  <dimension ref="B1:AB28"/>
  <sheetViews>
    <sheetView workbookViewId="0">
      <selection activeCell="W27" sqref="W27"/>
    </sheetView>
  </sheetViews>
  <sheetFormatPr defaultRowHeight="15" x14ac:dyDescent="0.25"/>
  <cols>
    <col min="1" max="2" width="9.140625" style="41"/>
    <col min="3" max="3" width="10.5703125" style="41" bestFit="1" customWidth="1"/>
    <col min="4" max="5" width="9.5703125" style="41" bestFit="1" customWidth="1"/>
    <col min="6" max="6" width="9.28515625" style="41" bestFit="1" customWidth="1"/>
    <col min="7" max="7" width="16.7109375" style="41" customWidth="1"/>
    <col min="8" max="8" width="9.5703125" style="41" bestFit="1" customWidth="1"/>
    <col min="9" max="9" width="10.5703125" style="41" bestFit="1" customWidth="1"/>
    <col min="10" max="10" width="9.140625" style="41"/>
    <col min="11" max="14" width="9.28515625" style="41" bestFit="1" customWidth="1"/>
    <col min="15" max="15" width="11.85546875" style="41" customWidth="1"/>
    <col min="16" max="16" width="9.140625" style="41"/>
    <col min="17" max="17" width="10.5703125" style="41" bestFit="1" customWidth="1"/>
    <col min="18" max="19" width="9.140625" style="41"/>
    <col min="20" max="20" width="11" style="41" bestFit="1" customWidth="1"/>
    <col min="21" max="21" width="9.140625" style="41"/>
    <col min="22" max="22" width="10.7109375" style="41" customWidth="1"/>
    <col min="23" max="23" width="11.85546875" style="41" customWidth="1"/>
    <col min="24" max="24" width="15.42578125" style="41" customWidth="1"/>
    <col min="25" max="25" width="9.140625" style="41"/>
    <col min="26" max="26" width="10.7109375" style="41" customWidth="1"/>
    <col min="27" max="16384" width="9.140625" style="41"/>
  </cols>
  <sheetData>
    <row r="1" spans="2:27" s="39" customFormat="1" x14ac:dyDescent="0.25">
      <c r="D1" s="40" t="s">
        <v>97</v>
      </c>
      <c r="E1" s="40"/>
      <c r="F1" s="40"/>
      <c r="G1" s="40"/>
      <c r="H1" s="40"/>
      <c r="I1" s="40"/>
      <c r="L1" s="39" t="s">
        <v>96</v>
      </c>
      <c r="M1" s="39" t="s">
        <v>96</v>
      </c>
      <c r="N1" s="39" t="s">
        <v>96</v>
      </c>
      <c r="O1" s="39" t="s">
        <v>96</v>
      </c>
      <c r="P1" s="39" t="s">
        <v>97</v>
      </c>
      <c r="Q1" s="39" t="s">
        <v>97</v>
      </c>
      <c r="S1" s="39" t="s">
        <v>96</v>
      </c>
      <c r="U1" s="39" t="s">
        <v>96</v>
      </c>
      <c r="V1" s="39" t="s">
        <v>96</v>
      </c>
      <c r="W1" s="39" t="s">
        <v>97</v>
      </c>
      <c r="X1" s="39" t="s">
        <v>97</v>
      </c>
      <c r="Y1" s="39" t="s">
        <v>96</v>
      </c>
      <c r="Z1" s="39" t="s">
        <v>96</v>
      </c>
      <c r="AA1" s="39" t="s">
        <v>96</v>
      </c>
    </row>
    <row r="2" spans="2:27" x14ac:dyDescent="0.25">
      <c r="B2" s="56" t="s">
        <v>69</v>
      </c>
      <c r="D2" s="83">
        <v>2000</v>
      </c>
      <c r="E2" s="50">
        <v>0.981355654078643</v>
      </c>
      <c r="F2" s="50">
        <v>0.01</v>
      </c>
      <c r="G2" s="50">
        <v>0.04</v>
      </c>
      <c r="H2" s="84">
        <v>5.0000000000000001E-3</v>
      </c>
      <c r="K2" s="56" t="s">
        <v>70</v>
      </c>
      <c r="P2" s="50">
        <v>0.01</v>
      </c>
      <c r="Q2" s="83">
        <v>15000</v>
      </c>
      <c r="Y2" s="50">
        <v>7.0000000000000007E-2</v>
      </c>
    </row>
    <row r="3" spans="2:27" s="51" customFormat="1" ht="60" x14ac:dyDescent="0.25">
      <c r="B3" s="51" t="s">
        <v>71</v>
      </c>
      <c r="C3" s="51" t="s">
        <v>72</v>
      </c>
      <c r="D3" s="51" t="s">
        <v>21</v>
      </c>
      <c r="E3" s="51" t="s">
        <v>73</v>
      </c>
      <c r="F3" s="51" t="s">
        <v>59</v>
      </c>
      <c r="G3" s="51" t="s">
        <v>111</v>
      </c>
      <c r="H3" s="51" t="s">
        <v>74</v>
      </c>
      <c r="I3" s="51" t="s">
        <v>75</v>
      </c>
      <c r="K3" s="51" t="s">
        <v>71</v>
      </c>
      <c r="L3" s="51" t="s">
        <v>76</v>
      </c>
      <c r="M3" s="51" t="s">
        <v>77</v>
      </c>
      <c r="N3" s="51" t="s">
        <v>5</v>
      </c>
      <c r="O3" s="51" t="s">
        <v>78</v>
      </c>
      <c r="P3" s="51" t="s">
        <v>15</v>
      </c>
      <c r="Q3" s="51" t="s">
        <v>79</v>
      </c>
      <c r="R3" s="51" t="s">
        <v>80</v>
      </c>
      <c r="S3" s="51" t="s">
        <v>81</v>
      </c>
      <c r="T3" s="51" t="s">
        <v>109</v>
      </c>
      <c r="U3" s="51" t="s">
        <v>110</v>
      </c>
      <c r="V3" s="51" t="s">
        <v>74</v>
      </c>
      <c r="W3" s="51" t="s">
        <v>82</v>
      </c>
      <c r="X3" s="51" t="s">
        <v>153</v>
      </c>
      <c r="Y3" s="51" t="s">
        <v>83</v>
      </c>
      <c r="Z3" s="51" t="s">
        <v>84</v>
      </c>
      <c r="AA3" s="51" t="s">
        <v>85</v>
      </c>
    </row>
    <row r="4" spans="2:27" x14ac:dyDescent="0.25">
      <c r="B4" s="41">
        <v>1</v>
      </c>
      <c r="C4" s="82">
        <v>0</v>
      </c>
      <c r="D4" s="85">
        <f>$D$2</f>
        <v>2000</v>
      </c>
      <c r="E4" s="82">
        <f>D4*$E$2</f>
        <v>1962.7113081572861</v>
      </c>
      <c r="F4" s="82">
        <f>-$F$2*E4</f>
        <v>-19.627113081572862</v>
      </c>
      <c r="G4" s="82">
        <f>SUM(C4,E4:F4)*(1+$G$2)</f>
        <v>2020.8075628787419</v>
      </c>
      <c r="H4" s="82">
        <f>-G4*$H$2</f>
        <v>-10.10403781439371</v>
      </c>
      <c r="I4" s="82">
        <f t="shared" ref="I4:I23" si="0">SUM(G4:H4)</f>
        <v>2010.7035250643482</v>
      </c>
      <c r="K4" s="45">
        <v>1</v>
      </c>
      <c r="L4" s="82">
        <f>D4-E4</f>
        <v>37.288691842713888</v>
      </c>
      <c r="M4" s="82">
        <f>-F4</f>
        <v>19.627113081572862</v>
      </c>
      <c r="N4" s="85">
        <f>-'Q4 Base'!G24</f>
        <v>-75</v>
      </c>
      <c r="O4" s="82">
        <f>-D4*'Q4 Base'!G26</f>
        <v>-1000</v>
      </c>
      <c r="P4" s="53">
        <f>SUM(L4:O4)*$P$2</f>
        <v>-10.180841950757133</v>
      </c>
      <c r="Q4" s="85">
        <f t="shared" ref="Q4:Q23" si="1">MAX($Q$2-I4,0)</f>
        <v>12989.296474935652</v>
      </c>
      <c r="R4" s="41">
        <f>'Q4 (ii)'!H4</f>
        <v>5.0389920174792385E-4</v>
      </c>
      <c r="S4" s="53">
        <f>-Q4*R4</f>
        <v>-6.5452961249871962</v>
      </c>
      <c r="T4" s="86">
        <f>'Q4 (ii)'!I4</f>
        <v>3.9989919825195386E-4</v>
      </c>
      <c r="U4" s="53">
        <f>H4*T4</f>
        <v>-4.040596621083469E-3</v>
      </c>
      <c r="V4" s="53">
        <f t="shared" ref="V4:V23" si="2">-H4</f>
        <v>10.10403781439371</v>
      </c>
      <c r="W4" s="53">
        <f t="shared" ref="W4:W23" si="3">SUM(L4:P4,S4,U4:V4)</f>
        <v>-1024.710335933685</v>
      </c>
      <c r="X4" s="86">
        <f>'Q4 (ii)'!J4</f>
        <v>1</v>
      </c>
      <c r="Y4" s="87">
        <f t="shared" ref="Y4:Y23" si="4">(1+$Y$2)^-K4</f>
        <v>0.93457943925233644</v>
      </c>
      <c r="Z4" s="53">
        <f>W4*X4</f>
        <v>-1024.710335933685</v>
      </c>
      <c r="AA4" s="41">
        <f>Y4*Z4</f>
        <v>-957.67321115297659</v>
      </c>
    </row>
    <row r="5" spans="2:27" x14ac:dyDescent="0.25">
      <c r="B5" s="41">
        <v>2</v>
      </c>
      <c r="C5" s="82">
        <f>I4</f>
        <v>2010.7035250643482</v>
      </c>
      <c r="D5" s="85">
        <f t="shared" ref="D5:D23" si="5">$D$2</f>
        <v>2000</v>
      </c>
      <c r="E5" s="82">
        <f t="shared" ref="E5:E23" si="6">D5*$E$2</f>
        <v>1962.7113081572861</v>
      </c>
      <c r="F5" s="82">
        <f t="shared" ref="F5:F23" si="7">-$F$2*E5</f>
        <v>-19.627113081572862</v>
      </c>
      <c r="G5" s="82">
        <f t="shared" ref="G5:G23" si="8">SUM(C5,E5:F5)*(1+$G$2)</f>
        <v>4111.9392289456646</v>
      </c>
      <c r="H5" s="82">
        <f t="shared" ref="H5:H23" si="9">-G5*$H$2</f>
        <v>-20.559696144728324</v>
      </c>
      <c r="I5" s="82">
        <f t="shared" si="0"/>
        <v>4091.3795328009364</v>
      </c>
      <c r="K5" s="45">
        <v>2</v>
      </c>
      <c r="L5" s="82">
        <f t="shared" ref="L5:L23" si="10">D5-E5</f>
        <v>37.288691842713888</v>
      </c>
      <c r="M5" s="82">
        <f t="shared" ref="M5:M23" si="11">-F5</f>
        <v>19.627113081572862</v>
      </c>
      <c r="N5" s="85">
        <f>-'Q4 Base'!$G$25</f>
        <v>-25</v>
      </c>
      <c r="O5" s="82">
        <f>-D5*'Q4 Base'!$G$27</f>
        <v>-20</v>
      </c>
      <c r="P5" s="53">
        <f t="shared" ref="P5:P23" si="12">SUM(L5:O5)*$P$2</f>
        <v>0.11915804924286746</v>
      </c>
      <c r="Q5" s="85">
        <f t="shared" si="1"/>
        <v>10908.620467199064</v>
      </c>
      <c r="R5" s="41">
        <f>'Q4 (ii)'!H5</f>
        <v>5.4089180254389304E-4</v>
      </c>
      <c r="S5" s="53">
        <f t="shared" ref="S5:S23" si="13">-Q5*R5</f>
        <v>-5.9003833877705061</v>
      </c>
      <c r="T5" s="86">
        <f>'Q4 (ii)'!I5</f>
        <v>3.9989179745604617E-4</v>
      </c>
      <c r="U5" s="53">
        <f t="shared" ref="U5:U23" si="14">H5*T5</f>
        <v>-8.2216538464655528E-3</v>
      </c>
      <c r="V5" s="53">
        <f t="shared" si="2"/>
        <v>20.559696144728324</v>
      </c>
      <c r="W5" s="53">
        <f t="shared" si="3"/>
        <v>26.686054076640968</v>
      </c>
      <c r="X5" s="86">
        <f>'Q4 (ii)'!J5</f>
        <v>0.99909620160000012</v>
      </c>
      <c r="Y5" s="87">
        <f t="shared" si="4"/>
        <v>0.87343872827321156</v>
      </c>
      <c r="Z5" s="53">
        <f t="shared" ref="Z5:Z23" si="15">W5*X5</f>
        <v>26.661935263664191</v>
      </c>
      <c r="AA5" s="41">
        <f t="shared" ref="AA5:AA23" si="16">Y5*Z5</f>
        <v>23.287566829997544</v>
      </c>
    </row>
    <row r="6" spans="2:27" x14ac:dyDescent="0.25">
      <c r="B6" s="41">
        <v>3</v>
      </c>
      <c r="C6" s="82">
        <f t="shared" ref="C6:C23" si="17">I5</f>
        <v>4091.3795328009364</v>
      </c>
      <c r="D6" s="85">
        <f t="shared" si="5"/>
        <v>2000</v>
      </c>
      <c r="E6" s="82">
        <f t="shared" si="6"/>
        <v>1962.7113081572861</v>
      </c>
      <c r="F6" s="82">
        <f t="shared" si="7"/>
        <v>-19.627113081572862</v>
      </c>
      <c r="G6" s="82">
        <f t="shared" si="8"/>
        <v>6275.8422769917161</v>
      </c>
      <c r="H6" s="82">
        <f t="shared" si="9"/>
        <v>-31.37921138495858</v>
      </c>
      <c r="I6" s="82">
        <f t="shared" si="0"/>
        <v>6244.4630656067575</v>
      </c>
      <c r="K6" s="45">
        <v>3</v>
      </c>
      <c r="L6" s="82">
        <f t="shared" si="10"/>
        <v>37.288691842713888</v>
      </c>
      <c r="M6" s="82">
        <f t="shared" si="11"/>
        <v>19.627113081572862</v>
      </c>
      <c r="N6" s="85">
        <f>-'Q4 Base'!$G$25</f>
        <v>-25</v>
      </c>
      <c r="O6" s="82">
        <f>-D6*'Q4 Base'!$G$27</f>
        <v>-20</v>
      </c>
      <c r="P6" s="53">
        <f t="shared" si="12"/>
        <v>0.11915804924286746</v>
      </c>
      <c r="Q6" s="85">
        <f t="shared" si="1"/>
        <v>8755.5369343932434</v>
      </c>
      <c r="R6" s="41">
        <f>'Q4 (ii)'!H6</f>
        <v>5.7487062769669692E-4</v>
      </c>
      <c r="S6" s="53">
        <f t="shared" si="13"/>
        <v>-5.0333010132962572</v>
      </c>
      <c r="T6" s="86">
        <f>'Q4 (ii)'!I6</f>
        <v>4.4987062230326393E-4</v>
      </c>
      <c r="U6" s="53">
        <f t="shared" si="14"/>
        <v>-1.4116585353136981E-2</v>
      </c>
      <c r="V6" s="53">
        <f t="shared" si="2"/>
        <v>31.37921138495858</v>
      </c>
      <c r="W6" s="53">
        <f t="shared" si="3"/>
        <v>38.3667567598388</v>
      </c>
      <c r="X6" s="86">
        <f>'Q4 (ii)'!J6</f>
        <v>0.99815626827871262</v>
      </c>
      <c r="Y6" s="87">
        <f t="shared" si="4"/>
        <v>0.81629787689085187</v>
      </c>
      <c r="Z6" s="53">
        <f t="shared" si="15"/>
        <v>38.296018753357771</v>
      </c>
      <c r="AA6" s="41">
        <f t="shared" si="16"/>
        <v>31.260958801738195</v>
      </c>
    </row>
    <row r="7" spans="2:27" x14ac:dyDescent="0.25">
      <c r="B7" s="41">
        <v>4</v>
      </c>
      <c r="C7" s="82">
        <f t="shared" si="17"/>
        <v>6244.4630656067575</v>
      </c>
      <c r="D7" s="85">
        <f t="shared" si="5"/>
        <v>2000</v>
      </c>
      <c r="E7" s="82">
        <f t="shared" si="6"/>
        <v>1962.7113081572861</v>
      </c>
      <c r="F7" s="82">
        <f t="shared" si="7"/>
        <v>-19.627113081572862</v>
      </c>
      <c r="G7" s="82">
        <f t="shared" si="8"/>
        <v>8515.049151109768</v>
      </c>
      <c r="H7" s="82">
        <f t="shared" si="9"/>
        <v>-42.575245755548842</v>
      </c>
      <c r="I7" s="82">
        <f t="shared" si="0"/>
        <v>8472.4739053542198</v>
      </c>
      <c r="K7" s="45">
        <v>4</v>
      </c>
      <c r="L7" s="82">
        <f t="shared" si="10"/>
        <v>37.288691842713888</v>
      </c>
      <c r="M7" s="82">
        <f t="shared" si="11"/>
        <v>19.627113081572862</v>
      </c>
      <c r="N7" s="85">
        <f>-'Q4 Base'!$G$25</f>
        <v>-25</v>
      </c>
      <c r="O7" s="82">
        <f>-D7*'Q4 Base'!$G$27</f>
        <v>-20</v>
      </c>
      <c r="P7" s="53">
        <f t="shared" si="12"/>
        <v>0.11915804924286746</v>
      </c>
      <c r="Q7" s="85">
        <f t="shared" si="1"/>
        <v>6527.5260946457802</v>
      </c>
      <c r="R7" s="41">
        <f>'Q4 (ii)'!H7</f>
        <v>6.1186230371980551E-4</v>
      </c>
      <c r="S7" s="53">
        <f t="shared" si="13"/>
        <v>-3.9939471538611122</v>
      </c>
      <c r="T7" s="86">
        <f>'Q4 (ii)'!I7</f>
        <v>4.4986229628006373E-4</v>
      </c>
      <c r="U7" s="53">
        <f t="shared" si="14"/>
        <v>-1.9152997820279238E-2</v>
      </c>
      <c r="V7" s="53">
        <f t="shared" si="2"/>
        <v>42.575245755548842</v>
      </c>
      <c r="W7" s="53">
        <f t="shared" si="3"/>
        <v>50.597108577397066</v>
      </c>
      <c r="X7" s="86">
        <f>'Q4 (ii)'!J7</f>
        <v>0.99713341637666142</v>
      </c>
      <c r="Y7" s="87">
        <f t="shared" si="4"/>
        <v>0.7628952120475252</v>
      </c>
      <c r="Z7" s="53">
        <f t="shared" si="15"/>
        <v>50.452067734560814</v>
      </c>
      <c r="AA7" s="41">
        <f t="shared" si="16"/>
        <v>38.489640912593877</v>
      </c>
    </row>
    <row r="8" spans="2:27" x14ac:dyDescent="0.25">
      <c r="B8" s="41">
        <v>5</v>
      </c>
      <c r="C8" s="82">
        <f t="shared" si="17"/>
        <v>8472.4739053542198</v>
      </c>
      <c r="D8" s="85">
        <f t="shared" si="5"/>
        <v>2000</v>
      </c>
      <c r="E8" s="82">
        <f t="shared" si="6"/>
        <v>1962.7113081572861</v>
      </c>
      <c r="F8" s="82">
        <f t="shared" si="7"/>
        <v>-19.627113081572862</v>
      </c>
      <c r="G8" s="82">
        <f t="shared" si="8"/>
        <v>10832.180424447131</v>
      </c>
      <c r="H8" s="82">
        <f t="shared" si="9"/>
        <v>-54.160902122235655</v>
      </c>
      <c r="I8" s="82">
        <f t="shared" si="0"/>
        <v>10778.019522324896</v>
      </c>
      <c r="K8" s="45">
        <v>5</v>
      </c>
      <c r="L8" s="82">
        <f t="shared" si="10"/>
        <v>37.288691842713888</v>
      </c>
      <c r="M8" s="82">
        <f t="shared" si="11"/>
        <v>19.627113081572862</v>
      </c>
      <c r="N8" s="85">
        <f>-'Q4 Base'!$G$25</f>
        <v>-25</v>
      </c>
      <c r="O8" s="82">
        <f>-D8*'Q4 Base'!$G$27</f>
        <v>-20</v>
      </c>
      <c r="P8" s="53">
        <f t="shared" si="12"/>
        <v>0.11915804924286746</v>
      </c>
      <c r="Q8" s="85">
        <f t="shared" si="1"/>
        <v>4221.9804776751043</v>
      </c>
      <c r="R8" s="41">
        <f>'Q4 (ii)'!H8</f>
        <v>6.5283675416527034E-4</v>
      </c>
      <c r="S8" s="53">
        <f t="shared" si="13"/>
        <v>-2.7562640311945525</v>
      </c>
      <c r="T8" s="86">
        <f>'Q4 (ii)'!I8</f>
        <v>4.9983674583465297E-4</v>
      </c>
      <c r="U8" s="53">
        <f t="shared" si="14"/>
        <v>-2.7071609068247418E-2</v>
      </c>
      <c r="V8" s="53">
        <f t="shared" si="2"/>
        <v>54.160902122235655</v>
      </c>
      <c r="W8" s="53">
        <f t="shared" si="3"/>
        <v>63.412529455502465</v>
      </c>
      <c r="X8" s="86">
        <f>'Q4 (ii)'!J8</f>
        <v>0.99607473529901236</v>
      </c>
      <c r="Y8" s="87">
        <f t="shared" si="4"/>
        <v>0.71298617948366838</v>
      </c>
      <c r="Z8" s="53">
        <f t="shared" si="15"/>
        <v>63.163618492030444</v>
      </c>
      <c r="AA8" s="41">
        <f t="shared" si="16"/>
        <v>45.034787030996775</v>
      </c>
    </row>
    <row r="9" spans="2:27" x14ac:dyDescent="0.25">
      <c r="B9" s="41">
        <v>6</v>
      </c>
      <c r="C9" s="82">
        <f t="shared" si="17"/>
        <v>10778.019522324896</v>
      </c>
      <c r="D9" s="85">
        <f t="shared" si="5"/>
        <v>2000</v>
      </c>
      <c r="E9" s="82">
        <f t="shared" si="6"/>
        <v>1962.7113081572861</v>
      </c>
      <c r="F9" s="82">
        <f t="shared" si="7"/>
        <v>-19.627113081572862</v>
      </c>
      <c r="G9" s="82">
        <f t="shared" si="8"/>
        <v>13229.947866096634</v>
      </c>
      <c r="H9" s="82">
        <f t="shared" si="9"/>
        <v>-66.149739330483172</v>
      </c>
      <c r="I9" s="82">
        <f t="shared" si="0"/>
        <v>13163.798126766151</v>
      </c>
      <c r="K9" s="45">
        <v>6</v>
      </c>
      <c r="L9" s="82">
        <f t="shared" si="10"/>
        <v>37.288691842713888</v>
      </c>
      <c r="M9" s="82">
        <f t="shared" si="11"/>
        <v>19.627113081572862</v>
      </c>
      <c r="N9" s="85">
        <f>-'Q4 Base'!$G$25</f>
        <v>-25</v>
      </c>
      <c r="O9" s="82">
        <f>-D9*'Q4 Base'!$G$27</f>
        <v>-20</v>
      </c>
      <c r="P9" s="53">
        <f t="shared" si="12"/>
        <v>0.11915804924286746</v>
      </c>
      <c r="Q9" s="85">
        <f t="shared" si="1"/>
        <v>1836.2018732338493</v>
      </c>
      <c r="R9" s="41">
        <f>'Q4 (ii)'!H9</f>
        <v>6.9580860466031554E-4</v>
      </c>
      <c r="S9" s="53">
        <f t="shared" si="13"/>
        <v>-1.2776450632895022</v>
      </c>
      <c r="T9" s="86">
        <f>'Q4 (ii)'!I9</f>
        <v>5.4980859533973307E-4</v>
      </c>
      <c r="U9" s="53">
        <f t="shared" si="14"/>
        <v>-3.6369695263382448E-2</v>
      </c>
      <c r="V9" s="53">
        <f t="shared" si="2"/>
        <v>66.149739330483172</v>
      </c>
      <c r="W9" s="53">
        <f t="shared" si="3"/>
        <v>76.870687545459901</v>
      </c>
      <c r="X9" s="86">
        <f>'Q4 (ii)'!J9</f>
        <v>0.99492658634761377</v>
      </c>
      <c r="Y9" s="87">
        <f t="shared" si="4"/>
        <v>0.66634222381651254</v>
      </c>
      <c r="Z9" s="53">
        <f t="shared" si="15"/>
        <v>76.480690749798455</v>
      </c>
      <c r="AA9" s="41">
        <f t="shared" si="16"/>
        <v>50.962313553243682</v>
      </c>
    </row>
    <row r="10" spans="2:27" x14ac:dyDescent="0.25">
      <c r="B10" s="41">
        <v>7</v>
      </c>
      <c r="C10" s="82">
        <f t="shared" si="17"/>
        <v>13163.798126766151</v>
      </c>
      <c r="D10" s="85">
        <f t="shared" si="5"/>
        <v>2000</v>
      </c>
      <c r="E10" s="82">
        <f t="shared" si="6"/>
        <v>1962.7113081572861</v>
      </c>
      <c r="F10" s="82">
        <f t="shared" si="7"/>
        <v>-19.627113081572862</v>
      </c>
      <c r="G10" s="82">
        <f t="shared" si="8"/>
        <v>15711.157614715539</v>
      </c>
      <c r="H10" s="82">
        <f t="shared" si="9"/>
        <v>-78.555788073577702</v>
      </c>
      <c r="I10" s="82">
        <f t="shared" si="0"/>
        <v>15632.601826641961</v>
      </c>
      <c r="K10" s="45">
        <v>7</v>
      </c>
      <c r="L10" s="82">
        <f t="shared" si="10"/>
        <v>37.288691842713888</v>
      </c>
      <c r="M10" s="82">
        <f t="shared" si="11"/>
        <v>19.627113081572862</v>
      </c>
      <c r="N10" s="85">
        <f>-'Q4 Base'!$G$25</f>
        <v>-25</v>
      </c>
      <c r="O10" s="82">
        <f>-D10*'Q4 Base'!$G$27</f>
        <v>-20</v>
      </c>
      <c r="P10" s="53">
        <f t="shared" si="12"/>
        <v>0.11915804924286746</v>
      </c>
      <c r="Q10" s="85">
        <f t="shared" si="1"/>
        <v>0</v>
      </c>
      <c r="R10" s="41">
        <f>'Q4 (ii)'!H10</f>
        <v>7.4677590549420184E-4</v>
      </c>
      <c r="S10" s="53">
        <f t="shared" si="13"/>
        <v>0</v>
      </c>
      <c r="T10" s="86">
        <f>'Q4 (ii)'!I10</f>
        <v>5.9977589450589338E-4</v>
      </c>
      <c r="U10" s="53">
        <f t="shared" si="14"/>
        <v>-4.7115868060445459E-2</v>
      </c>
      <c r="V10" s="53">
        <f t="shared" si="2"/>
        <v>78.555788073577702</v>
      </c>
      <c r="W10" s="53">
        <f t="shared" si="3"/>
        <v>90.543635179046873</v>
      </c>
      <c r="X10" s="86">
        <f>'Q4 (ii)'!J10</f>
        <v>0.99368728867892187</v>
      </c>
      <c r="Y10" s="87">
        <f t="shared" si="4"/>
        <v>0.62274974188459109</v>
      </c>
      <c r="Z10" s="53">
        <f t="shared" si="15"/>
        <v>89.972059348200531</v>
      </c>
      <c r="AA10" s="41">
        <f t="shared" si="16"/>
        <v>56.030076735916992</v>
      </c>
    </row>
    <row r="11" spans="2:27" x14ac:dyDescent="0.25">
      <c r="B11" s="41">
        <v>8</v>
      </c>
      <c r="C11" s="82">
        <f t="shared" si="17"/>
        <v>15632.601826641961</v>
      </c>
      <c r="D11" s="85">
        <f t="shared" si="5"/>
        <v>2000</v>
      </c>
      <c r="E11" s="82">
        <f t="shared" si="6"/>
        <v>1962.7113081572861</v>
      </c>
      <c r="F11" s="82">
        <f t="shared" si="7"/>
        <v>-19.627113081572862</v>
      </c>
      <c r="G11" s="82">
        <f t="shared" si="8"/>
        <v>18278.71346258638</v>
      </c>
      <c r="H11" s="82">
        <f t="shared" si="9"/>
        <v>-91.393567312931907</v>
      </c>
      <c r="I11" s="82">
        <f t="shared" si="0"/>
        <v>18187.319895273449</v>
      </c>
      <c r="K11" s="45">
        <v>8</v>
      </c>
      <c r="L11" s="82">
        <f t="shared" si="10"/>
        <v>37.288691842713888</v>
      </c>
      <c r="M11" s="82">
        <f t="shared" si="11"/>
        <v>19.627113081572862</v>
      </c>
      <c r="N11" s="85">
        <f>-'Q4 Base'!$G$25</f>
        <v>-25</v>
      </c>
      <c r="O11" s="82">
        <f>-D11*'Q4 Base'!$G$27</f>
        <v>-20</v>
      </c>
      <c r="P11" s="53">
        <f t="shared" si="12"/>
        <v>0.11915804924286746</v>
      </c>
      <c r="Q11" s="85">
        <f t="shared" si="1"/>
        <v>0</v>
      </c>
      <c r="R11" s="41">
        <f>'Q4 (ii)'!H11</f>
        <v>8.0171930477543286E-4</v>
      </c>
      <c r="S11" s="53">
        <f t="shared" si="13"/>
        <v>0</v>
      </c>
      <c r="T11" s="86">
        <f>'Q4 (ii)'!I11</f>
        <v>6.9971929522452756E-4</v>
      </c>
      <c r="U11" s="53">
        <f t="shared" si="14"/>
        <v>-6.3949842508260135E-2</v>
      </c>
      <c r="V11" s="53">
        <f t="shared" si="2"/>
        <v>91.393567312931907</v>
      </c>
      <c r="W11" s="53">
        <f t="shared" si="3"/>
        <v>103.36458044395326</v>
      </c>
      <c r="X11" s="86">
        <f>'Q4 (ii)'!J11</f>
        <v>0.99234923727171409</v>
      </c>
      <c r="Y11" s="87">
        <f t="shared" si="4"/>
        <v>0.5820091045650384</v>
      </c>
      <c r="Z11" s="53">
        <f t="shared" si="15"/>
        <v>102.57376256446776</v>
      </c>
      <c r="AA11" s="41">
        <f t="shared" si="16"/>
        <v>59.698863702012737</v>
      </c>
    </row>
    <row r="12" spans="2:27" x14ac:dyDescent="0.25">
      <c r="B12" s="41">
        <v>9</v>
      </c>
      <c r="C12" s="82">
        <f t="shared" si="17"/>
        <v>18187.319895273449</v>
      </c>
      <c r="D12" s="85">
        <f t="shared" si="5"/>
        <v>2000</v>
      </c>
      <c r="E12" s="82">
        <f t="shared" si="6"/>
        <v>1962.7113081572861</v>
      </c>
      <c r="F12" s="82">
        <f t="shared" si="7"/>
        <v>-19.627113081572862</v>
      </c>
      <c r="G12" s="82">
        <f t="shared" si="8"/>
        <v>20935.62025396313</v>
      </c>
      <c r="H12" s="82">
        <f t="shared" si="9"/>
        <v>-104.67810126981566</v>
      </c>
      <c r="I12" s="82">
        <f t="shared" si="0"/>
        <v>20830.942152693315</v>
      </c>
      <c r="K12" s="45">
        <v>9</v>
      </c>
      <c r="L12" s="82">
        <f t="shared" si="10"/>
        <v>37.288691842713888</v>
      </c>
      <c r="M12" s="82">
        <f t="shared" si="11"/>
        <v>19.627113081572862</v>
      </c>
      <c r="N12" s="85">
        <f>-'Q4 Base'!$G$25</f>
        <v>-25</v>
      </c>
      <c r="O12" s="82">
        <f>-D12*'Q4 Base'!$G$27</f>
        <v>-20</v>
      </c>
      <c r="P12" s="53">
        <f t="shared" si="12"/>
        <v>0.11915804924286746</v>
      </c>
      <c r="Q12" s="85">
        <f t="shared" si="1"/>
        <v>0</v>
      </c>
      <c r="R12" s="41">
        <f>'Q4 (ii)'!H12</f>
        <v>8.5361569705114581E-4</v>
      </c>
      <c r="S12" s="53">
        <f t="shared" si="13"/>
        <v>0</v>
      </c>
      <c r="T12" s="86">
        <f>'Q4 (ii)'!I12</f>
        <v>8.9961570294890903E-4</v>
      </c>
      <c r="U12" s="53">
        <f t="shared" si="14"/>
        <v>-9.4170063657202305E-2</v>
      </c>
      <c r="V12" s="53">
        <f t="shared" si="2"/>
        <v>104.67810126981566</v>
      </c>
      <c r="W12" s="53">
        <f t="shared" si="3"/>
        <v>116.61889417968807</v>
      </c>
      <c r="X12" s="86">
        <f>'Q4 (ii)'!J12</f>
        <v>0.99085928582219385</v>
      </c>
      <c r="Y12" s="87">
        <f t="shared" si="4"/>
        <v>0.54393374258414806</v>
      </c>
      <c r="Z12" s="53">
        <f t="shared" si="15"/>
        <v>115.55291420025972</v>
      </c>
      <c r="AA12" s="41">
        <f t="shared" si="16"/>
        <v>62.853129087452217</v>
      </c>
    </row>
    <row r="13" spans="2:27" x14ac:dyDescent="0.25">
      <c r="B13" s="41">
        <v>10</v>
      </c>
      <c r="C13" s="82">
        <f t="shared" si="17"/>
        <v>20830.942152693315</v>
      </c>
      <c r="D13" s="85">
        <f t="shared" si="5"/>
        <v>2000</v>
      </c>
      <c r="E13" s="82">
        <f t="shared" si="6"/>
        <v>1962.7113081572861</v>
      </c>
      <c r="F13" s="82">
        <f t="shared" si="7"/>
        <v>-19.627113081572862</v>
      </c>
      <c r="G13" s="82">
        <f t="shared" si="8"/>
        <v>23684.987401679791</v>
      </c>
      <c r="H13" s="82">
        <f t="shared" si="9"/>
        <v>-118.42493700839896</v>
      </c>
      <c r="I13" s="82">
        <f t="shared" si="0"/>
        <v>23566.562464671391</v>
      </c>
      <c r="K13" s="45">
        <v>10</v>
      </c>
      <c r="L13" s="82">
        <f t="shared" si="10"/>
        <v>37.288691842713888</v>
      </c>
      <c r="M13" s="82">
        <f t="shared" si="11"/>
        <v>19.627113081572862</v>
      </c>
      <c r="N13" s="85">
        <f>-'Q4 Base'!$G$25</f>
        <v>-25</v>
      </c>
      <c r="O13" s="82">
        <f>-D13*'Q4 Base'!$G$27</f>
        <v>-20</v>
      </c>
      <c r="P13" s="53">
        <f t="shared" si="12"/>
        <v>0.11915804924286746</v>
      </c>
      <c r="Q13" s="85">
        <f t="shared" si="1"/>
        <v>0</v>
      </c>
      <c r="R13" s="41">
        <f>'Q4 (ii)'!H13</f>
        <v>9.0054949255969372E-4</v>
      </c>
      <c r="S13" s="53">
        <f t="shared" si="13"/>
        <v>0</v>
      </c>
      <c r="T13" s="86">
        <f>'Q4 (ii)'!I13</f>
        <v>9.9954950744029483E-4</v>
      </c>
      <c r="U13" s="53">
        <f t="shared" si="14"/>
        <v>-0.11837158745539311</v>
      </c>
      <c r="V13" s="53">
        <f t="shared" si="2"/>
        <v>118.42493700839896</v>
      </c>
      <c r="W13" s="53">
        <f t="shared" si="3"/>
        <v>130.34152839447319</v>
      </c>
      <c r="X13" s="86">
        <f>'Q4 (ii)'!J13</f>
        <v>0.9891220802093087</v>
      </c>
      <c r="Y13" s="87">
        <f t="shared" si="4"/>
        <v>0.5083492921347178</v>
      </c>
      <c r="Z13" s="53">
        <f t="shared" si="15"/>
        <v>128.92368370320199</v>
      </c>
      <c r="AA13" s="41">
        <f t="shared" si="16"/>
        <v>65.538263349922985</v>
      </c>
    </row>
    <row r="14" spans="2:27" x14ac:dyDescent="0.25">
      <c r="B14" s="41">
        <v>11</v>
      </c>
      <c r="C14" s="82">
        <f t="shared" si="17"/>
        <v>23566.562464671391</v>
      </c>
      <c r="D14" s="85">
        <f t="shared" si="5"/>
        <v>2000</v>
      </c>
      <c r="E14" s="82">
        <f t="shared" si="6"/>
        <v>1962.7113081572861</v>
      </c>
      <c r="F14" s="82">
        <f t="shared" si="7"/>
        <v>-19.627113081572862</v>
      </c>
      <c r="G14" s="82">
        <f t="shared" si="8"/>
        <v>26530.032526136991</v>
      </c>
      <c r="H14" s="82">
        <f t="shared" si="9"/>
        <v>-132.65016263068495</v>
      </c>
      <c r="I14" s="82">
        <f t="shared" si="0"/>
        <v>26397.382363506305</v>
      </c>
      <c r="K14" s="45">
        <v>11</v>
      </c>
      <c r="L14" s="82">
        <f t="shared" si="10"/>
        <v>37.288691842713888</v>
      </c>
      <c r="M14" s="82">
        <f t="shared" si="11"/>
        <v>19.627113081572862</v>
      </c>
      <c r="N14" s="85">
        <f>-'Q4 Base'!$G$25</f>
        <v>-25</v>
      </c>
      <c r="O14" s="82">
        <f>-D14*'Q4 Base'!$G$27</f>
        <v>-20</v>
      </c>
      <c r="P14" s="53">
        <f t="shared" si="12"/>
        <v>0.11915804924286746</v>
      </c>
      <c r="Q14" s="85">
        <f t="shared" si="1"/>
        <v>0</v>
      </c>
      <c r="R14" s="41">
        <f>'Q4 (ii)'!H14</f>
        <v>9.4852549596278004E-4</v>
      </c>
      <c r="S14" s="53">
        <f t="shared" si="13"/>
        <v>0</v>
      </c>
      <c r="T14" s="86">
        <f>'Q4 (ii)'!I14</f>
        <v>9.9952550403717075E-4</v>
      </c>
      <c r="U14" s="53">
        <f t="shared" si="14"/>
        <v>-0.13258722066404804</v>
      </c>
      <c r="V14" s="53">
        <f t="shared" si="2"/>
        <v>132.65016263068495</v>
      </c>
      <c r="W14" s="53">
        <f t="shared" si="3"/>
        <v>144.55253838355051</v>
      </c>
      <c r="X14" s="86">
        <f>'Q4 (ii)'!J14</f>
        <v>0.98724265033382508</v>
      </c>
      <c r="Y14" s="87">
        <f t="shared" si="4"/>
        <v>0.47509279638758667</v>
      </c>
      <c r="Z14" s="53">
        <f t="shared" si="15"/>
        <v>142.70843110625839</v>
      </c>
      <c r="AA14" s="41">
        <f t="shared" si="16"/>
        <v>67.799747602357556</v>
      </c>
    </row>
    <row r="15" spans="2:27" x14ac:dyDescent="0.25">
      <c r="B15" s="41">
        <v>12</v>
      </c>
      <c r="C15" s="82">
        <f t="shared" si="17"/>
        <v>26397.382363506305</v>
      </c>
      <c r="D15" s="85">
        <f t="shared" si="5"/>
        <v>2000</v>
      </c>
      <c r="E15" s="82">
        <f t="shared" si="6"/>
        <v>1962.7113081572861</v>
      </c>
      <c r="F15" s="82">
        <f t="shared" si="7"/>
        <v>-19.627113081572862</v>
      </c>
      <c r="G15" s="82">
        <f t="shared" si="8"/>
        <v>29474.085220925299</v>
      </c>
      <c r="H15" s="82">
        <f t="shared" si="9"/>
        <v>-147.37042610462649</v>
      </c>
      <c r="I15" s="82">
        <f t="shared" si="0"/>
        <v>29326.714794820673</v>
      </c>
      <c r="K15" s="45">
        <v>12</v>
      </c>
      <c r="L15" s="82">
        <f t="shared" si="10"/>
        <v>37.288691842713888</v>
      </c>
      <c r="M15" s="82">
        <f t="shared" si="11"/>
        <v>19.627113081572862</v>
      </c>
      <c r="N15" s="85">
        <f>-'Q4 Base'!$G$25</f>
        <v>-25</v>
      </c>
      <c r="O15" s="82">
        <f>-D15*'Q4 Base'!$G$27</f>
        <v>-20</v>
      </c>
      <c r="P15" s="53">
        <f t="shared" si="12"/>
        <v>0.11915804924286746</v>
      </c>
      <c r="Q15" s="85">
        <f t="shared" si="1"/>
        <v>0</v>
      </c>
      <c r="R15" s="41">
        <f>'Q4 (ii)'!H15</f>
        <v>1.0064461414062773E-3</v>
      </c>
      <c r="S15" s="53">
        <f t="shared" si="13"/>
        <v>0</v>
      </c>
      <c r="T15" s="86">
        <f>'Q4 (ii)'!I15</f>
        <v>1.0994461585937456E-3</v>
      </c>
      <c r="U15" s="53">
        <f t="shared" si="14"/>
        <v>-0.16202584887105503</v>
      </c>
      <c r="V15" s="53">
        <f t="shared" si="2"/>
        <v>147.37042610462649</v>
      </c>
      <c r="W15" s="53">
        <f t="shared" si="3"/>
        <v>159.24336322928505</v>
      </c>
      <c r="X15" s="86">
        <f>'Q4 (ii)'!J15</f>
        <v>0.9853194513015997</v>
      </c>
      <c r="Y15" s="87">
        <f t="shared" si="4"/>
        <v>0.44401195924073528</v>
      </c>
      <c r="Z15" s="53">
        <f t="shared" si="15"/>
        <v>156.90558328050048</v>
      </c>
      <c r="AA15" s="41">
        <f t="shared" si="16"/>
        <v>69.667955448185367</v>
      </c>
    </row>
    <row r="16" spans="2:27" x14ac:dyDescent="0.25">
      <c r="B16" s="41">
        <v>13</v>
      </c>
      <c r="C16" s="82">
        <f t="shared" si="17"/>
        <v>29326.714794820673</v>
      </c>
      <c r="D16" s="85">
        <f t="shared" si="5"/>
        <v>2000</v>
      </c>
      <c r="E16" s="82">
        <f t="shared" si="6"/>
        <v>1962.7113081572861</v>
      </c>
      <c r="F16" s="82">
        <f t="shared" si="7"/>
        <v>-19.627113081572862</v>
      </c>
      <c r="G16" s="82">
        <f t="shared" si="8"/>
        <v>32520.590949492242</v>
      </c>
      <c r="H16" s="82">
        <f t="shared" si="9"/>
        <v>-162.60295474746121</v>
      </c>
      <c r="I16" s="82">
        <f t="shared" si="0"/>
        <v>32357.987994744781</v>
      </c>
      <c r="K16" s="45">
        <v>13</v>
      </c>
      <c r="L16" s="82">
        <f t="shared" si="10"/>
        <v>37.288691842713888</v>
      </c>
      <c r="M16" s="82">
        <f t="shared" si="11"/>
        <v>19.627113081572862</v>
      </c>
      <c r="N16" s="85">
        <f>-'Q4 Base'!$G$25</f>
        <v>-25</v>
      </c>
      <c r="O16" s="82">
        <f>-D16*'Q4 Base'!$G$27</f>
        <v>-20</v>
      </c>
      <c r="P16" s="53">
        <f t="shared" si="12"/>
        <v>0.11915804924286746</v>
      </c>
      <c r="Q16" s="85">
        <f t="shared" si="1"/>
        <v>0</v>
      </c>
      <c r="R16" s="41">
        <f>'Q4 (ii)'!H16</f>
        <v>1.0823501873143894E-3</v>
      </c>
      <c r="S16" s="53">
        <f t="shared" si="13"/>
        <v>0</v>
      </c>
      <c r="T16" s="86">
        <f>'Q4 (ii)'!I16</f>
        <v>1.1993502126855862E-3</v>
      </c>
      <c r="U16" s="53">
        <f t="shared" si="14"/>
        <v>-0.19501788835967235</v>
      </c>
      <c r="V16" s="53">
        <f t="shared" si="2"/>
        <v>162.60295474746121</v>
      </c>
      <c r="W16" s="53">
        <f t="shared" si="3"/>
        <v>174.44289983263116</v>
      </c>
      <c r="X16" s="86">
        <f>'Q4 (ii)'!J16</f>
        <v>0.98324447465606346</v>
      </c>
      <c r="Y16" s="87">
        <f t="shared" si="4"/>
        <v>0.41496444788853759</v>
      </c>
      <c r="Z16" s="53">
        <f t="shared" si="15"/>
        <v>171.52001740341572</v>
      </c>
      <c r="AA16" s="41">
        <f t="shared" si="16"/>
        <v>71.174709323640769</v>
      </c>
    </row>
    <row r="17" spans="2:28" x14ac:dyDescent="0.25">
      <c r="B17" s="41">
        <v>14</v>
      </c>
      <c r="C17" s="82">
        <f t="shared" si="17"/>
        <v>32357.987994744781</v>
      </c>
      <c r="D17" s="85">
        <f t="shared" si="5"/>
        <v>2000</v>
      </c>
      <c r="E17" s="82">
        <f t="shared" si="6"/>
        <v>1962.7113081572861</v>
      </c>
      <c r="F17" s="82">
        <f t="shared" si="7"/>
        <v>-19.627113081572862</v>
      </c>
      <c r="G17" s="82">
        <f t="shared" si="8"/>
        <v>35673.115077413313</v>
      </c>
      <c r="H17" s="82">
        <f t="shared" si="9"/>
        <v>-178.36557538706657</v>
      </c>
      <c r="I17" s="82">
        <f t="shared" si="0"/>
        <v>35494.749502026243</v>
      </c>
      <c r="K17" s="45">
        <v>14</v>
      </c>
      <c r="L17" s="82">
        <f t="shared" si="10"/>
        <v>37.288691842713888</v>
      </c>
      <c r="M17" s="82">
        <f t="shared" si="11"/>
        <v>19.627113081572862</v>
      </c>
      <c r="N17" s="85">
        <f>-'Q4 Base'!$G$25</f>
        <v>-25</v>
      </c>
      <c r="O17" s="82">
        <f>-D17*'Q4 Base'!$G$27</f>
        <v>-20</v>
      </c>
      <c r="P17" s="53">
        <f t="shared" si="12"/>
        <v>0.11915804924286746</v>
      </c>
      <c r="Q17" s="85">
        <f t="shared" si="1"/>
        <v>0</v>
      </c>
      <c r="R17" s="41">
        <f>'Q4 (ii)'!H17</f>
        <v>1.1782925975211711E-3</v>
      </c>
      <c r="S17" s="53">
        <f t="shared" si="13"/>
        <v>0</v>
      </c>
      <c r="T17" s="86">
        <f>'Q4 (ii)'!I17</f>
        <v>1.1992926024788054E-3</v>
      </c>
      <c r="U17" s="53">
        <f t="shared" si="14"/>
        <v>-0.21391251509858461</v>
      </c>
      <c r="V17" s="53">
        <f t="shared" si="2"/>
        <v>178.36557538706657</v>
      </c>
      <c r="W17" s="53">
        <f t="shared" si="3"/>
        <v>190.18662584549759</v>
      </c>
      <c r="X17" s="86">
        <f>'Q4 (ii)'!J17</f>
        <v>0.98100100534494294</v>
      </c>
      <c r="Y17" s="87">
        <f t="shared" si="4"/>
        <v>0.3878172410173249</v>
      </c>
      <c r="Z17" s="53">
        <f t="shared" si="15"/>
        <v>186.57327115759566</v>
      </c>
      <c r="AA17" s="41">
        <f t="shared" si="16"/>
        <v>72.356331267915991</v>
      </c>
    </row>
    <row r="18" spans="2:28" x14ac:dyDescent="0.25">
      <c r="B18" s="41">
        <v>15</v>
      </c>
      <c r="C18" s="82">
        <f t="shared" si="17"/>
        <v>35494.749502026243</v>
      </c>
      <c r="D18" s="85">
        <f t="shared" si="5"/>
        <v>2000</v>
      </c>
      <c r="E18" s="82">
        <f t="shared" si="6"/>
        <v>1962.7113081572861</v>
      </c>
      <c r="F18" s="82">
        <f t="shared" si="7"/>
        <v>-19.627113081572862</v>
      </c>
      <c r="G18" s="82">
        <f t="shared" si="8"/>
        <v>38935.34704498604</v>
      </c>
      <c r="H18" s="82">
        <f t="shared" si="9"/>
        <v>-194.67673522493021</v>
      </c>
      <c r="I18" s="82">
        <f t="shared" si="0"/>
        <v>38740.67030976111</v>
      </c>
      <c r="K18" s="45">
        <v>15</v>
      </c>
      <c r="L18" s="82">
        <f t="shared" si="10"/>
        <v>37.288691842713888</v>
      </c>
      <c r="M18" s="82">
        <f t="shared" si="11"/>
        <v>19.627113081572862</v>
      </c>
      <c r="N18" s="85">
        <f>-'Q4 Base'!$G$25</f>
        <v>-25</v>
      </c>
      <c r="O18" s="82">
        <f>-D18*'Q4 Base'!$G$27</f>
        <v>-20</v>
      </c>
      <c r="P18" s="53">
        <f t="shared" si="12"/>
        <v>0.11915804924286746</v>
      </c>
      <c r="Q18" s="85">
        <f t="shared" si="1"/>
        <v>0</v>
      </c>
      <c r="R18" s="41">
        <f>'Q4 (ii)'!H18</f>
        <v>1.2991549999999408E-3</v>
      </c>
      <c r="S18" s="53">
        <f t="shared" si="13"/>
        <v>0</v>
      </c>
      <c r="T18" s="86">
        <f>'Q4 (ii)'!I18</f>
        <v>1.2991549999999408E-3</v>
      </c>
      <c r="U18" s="53">
        <f t="shared" si="14"/>
        <v>-0.25291525395113268</v>
      </c>
      <c r="V18" s="53">
        <f t="shared" si="2"/>
        <v>194.67673522493021</v>
      </c>
      <c r="W18" s="53">
        <f t="shared" si="3"/>
        <v>206.4587829445087</v>
      </c>
      <c r="X18" s="86">
        <f>'Q4 (ii)'!J18</f>
        <v>0.97866859187344968</v>
      </c>
      <c r="Y18" s="87">
        <f t="shared" si="4"/>
        <v>0.36244601964235967</v>
      </c>
      <c r="Z18" s="53">
        <f t="shared" si="15"/>
        <v>202.05472638420852</v>
      </c>
      <c r="AA18" s="41">
        <f t="shared" si="16"/>
        <v>73.233931327882445</v>
      </c>
    </row>
    <row r="19" spans="2:28" x14ac:dyDescent="0.25">
      <c r="B19" s="41">
        <v>16</v>
      </c>
      <c r="C19" s="82">
        <f t="shared" si="17"/>
        <v>38740.67030976111</v>
      </c>
      <c r="D19" s="85">
        <f t="shared" si="5"/>
        <v>2000</v>
      </c>
      <c r="E19" s="82">
        <f t="shared" si="6"/>
        <v>1962.7113081572861</v>
      </c>
      <c r="F19" s="82">
        <f t="shared" si="7"/>
        <v>-19.627113081572862</v>
      </c>
      <c r="G19" s="82">
        <f t="shared" si="8"/>
        <v>42311.104685030296</v>
      </c>
      <c r="H19" s="82">
        <f t="shared" si="9"/>
        <v>-211.55552342515148</v>
      </c>
      <c r="I19" s="82">
        <f t="shared" si="0"/>
        <v>42099.549161605144</v>
      </c>
      <c r="K19" s="45">
        <v>16</v>
      </c>
      <c r="L19" s="82">
        <f t="shared" si="10"/>
        <v>37.288691842713888</v>
      </c>
      <c r="M19" s="82">
        <f t="shared" si="11"/>
        <v>19.627113081572862</v>
      </c>
      <c r="N19" s="85">
        <f>-'Q4 Base'!$G$25</f>
        <v>-25</v>
      </c>
      <c r="O19" s="82">
        <f>-D19*'Q4 Base'!$G$27</f>
        <v>-20</v>
      </c>
      <c r="P19" s="53">
        <f t="shared" si="12"/>
        <v>0.11915804924286746</v>
      </c>
      <c r="Q19" s="85">
        <f t="shared" si="1"/>
        <v>0</v>
      </c>
      <c r="R19" s="41">
        <f>'Q4 (ii)'!H19</f>
        <v>1.445987107945684E-3</v>
      </c>
      <c r="S19" s="53">
        <f t="shared" si="13"/>
        <v>0</v>
      </c>
      <c r="T19" s="86">
        <f>'Q4 (ii)'!I19</f>
        <v>1.3989870920542774E-3</v>
      </c>
      <c r="U19" s="53">
        <f t="shared" si="14"/>
        <v>-0.29596344652457324</v>
      </c>
      <c r="V19" s="53">
        <f t="shared" si="2"/>
        <v>211.55552342515148</v>
      </c>
      <c r="W19" s="53">
        <f t="shared" si="3"/>
        <v>223.29452295215651</v>
      </c>
      <c r="X19" s="86">
        <f>'Q4 (ii)'!J19</f>
        <v>0.97612570748449912</v>
      </c>
      <c r="Y19" s="87">
        <f t="shared" si="4"/>
        <v>0.33873459779659787</v>
      </c>
      <c r="Z19" s="53">
        <f t="shared" si="15"/>
        <v>217.96352419408751</v>
      </c>
      <c r="AA19" s="41">
        <f t="shared" si="16"/>
        <v>73.831786702213265</v>
      </c>
    </row>
    <row r="20" spans="2:28" x14ac:dyDescent="0.25">
      <c r="B20" s="41">
        <v>17</v>
      </c>
      <c r="C20" s="82">
        <f t="shared" si="17"/>
        <v>42099.549161605144</v>
      </c>
      <c r="D20" s="85">
        <f t="shared" si="5"/>
        <v>2000</v>
      </c>
      <c r="E20" s="82">
        <f t="shared" si="6"/>
        <v>1962.7113081572861</v>
      </c>
      <c r="F20" s="82">
        <f t="shared" si="7"/>
        <v>-19.627113081572862</v>
      </c>
      <c r="G20" s="82">
        <f t="shared" si="8"/>
        <v>45804.338690948098</v>
      </c>
      <c r="H20" s="82">
        <f t="shared" si="9"/>
        <v>-229.0216934547405</v>
      </c>
      <c r="I20" s="82">
        <f t="shared" si="0"/>
        <v>45575.316997493355</v>
      </c>
      <c r="K20" s="45">
        <v>17</v>
      </c>
      <c r="L20" s="82">
        <f t="shared" si="10"/>
        <v>37.288691842713888</v>
      </c>
      <c r="M20" s="82">
        <f t="shared" si="11"/>
        <v>19.627113081572862</v>
      </c>
      <c r="N20" s="85">
        <f>-'Q4 Base'!$G$25</f>
        <v>-25</v>
      </c>
      <c r="O20" s="82">
        <f>-D20*'Q4 Base'!$G$27</f>
        <v>-20</v>
      </c>
      <c r="P20" s="53">
        <f t="shared" si="12"/>
        <v>0.11915804924286746</v>
      </c>
      <c r="Q20" s="85">
        <f t="shared" si="1"/>
        <v>0</v>
      </c>
      <c r="R20" s="41">
        <f>'Q4 (ii)'!H20</f>
        <v>1.6127895230353528E-3</v>
      </c>
      <c r="S20" s="53">
        <f t="shared" si="13"/>
        <v>0</v>
      </c>
      <c r="T20" s="86">
        <f>'Q4 (ii)'!I20</f>
        <v>1.4987894769645672E-3</v>
      </c>
      <c r="U20" s="53">
        <f t="shared" si="14"/>
        <v>-0.34325530414656996</v>
      </c>
      <c r="V20" s="53">
        <f t="shared" si="2"/>
        <v>229.0216934547405</v>
      </c>
      <c r="W20" s="53">
        <f t="shared" si="3"/>
        <v>240.71340112412355</v>
      </c>
      <c r="X20" s="86">
        <f>'Q4 (ii)'!J20</f>
        <v>0.97334865503074897</v>
      </c>
      <c r="Y20" s="87">
        <f t="shared" si="4"/>
        <v>0.31657439046411018</v>
      </c>
      <c r="Z20" s="53">
        <f t="shared" si="15"/>
        <v>234.29806523204283</v>
      </c>
      <c r="AA20" s="41">
        <f t="shared" si="16"/>
        <v>74.172767187754289</v>
      </c>
    </row>
    <row r="21" spans="2:28" x14ac:dyDescent="0.25">
      <c r="B21" s="41">
        <v>18</v>
      </c>
      <c r="C21" s="82">
        <f t="shared" si="17"/>
        <v>45575.316997493355</v>
      </c>
      <c r="D21" s="85">
        <f t="shared" si="5"/>
        <v>2000</v>
      </c>
      <c r="E21" s="82">
        <f t="shared" si="6"/>
        <v>1962.7113081572861</v>
      </c>
      <c r="F21" s="82">
        <f t="shared" si="7"/>
        <v>-19.627113081572862</v>
      </c>
      <c r="G21" s="82">
        <f t="shared" si="8"/>
        <v>49419.137240271833</v>
      </c>
      <c r="H21" s="82">
        <f t="shared" si="9"/>
        <v>-247.09568620135917</v>
      </c>
      <c r="I21" s="82">
        <f t="shared" si="0"/>
        <v>49172.041554070471</v>
      </c>
      <c r="K21" s="45">
        <v>18</v>
      </c>
      <c r="L21" s="82">
        <f t="shared" si="10"/>
        <v>37.288691842713888</v>
      </c>
      <c r="M21" s="82">
        <f t="shared" si="11"/>
        <v>19.627113081572862</v>
      </c>
      <c r="N21" s="85">
        <f>-'Q4 Base'!$G$25</f>
        <v>-25</v>
      </c>
      <c r="O21" s="82">
        <f>-D21*'Q4 Base'!$G$27</f>
        <v>-20</v>
      </c>
      <c r="P21" s="53">
        <f t="shared" si="12"/>
        <v>0.11915804924286746</v>
      </c>
      <c r="Q21" s="85">
        <f t="shared" si="1"/>
        <v>0</v>
      </c>
      <c r="R21" s="41">
        <f>'Q4 (ii)'!H21</f>
        <v>1.8035560494207281E-3</v>
      </c>
      <c r="S21" s="53">
        <f t="shared" si="13"/>
        <v>0</v>
      </c>
      <c r="T21" s="86">
        <f>'Q4 (ii)'!I21</f>
        <v>1.5985559505792288E-3</v>
      </c>
      <c r="U21" s="53">
        <f t="shared" si="14"/>
        <v>-0.39499627953964056</v>
      </c>
      <c r="V21" s="53">
        <f t="shared" si="2"/>
        <v>247.09568620135917</v>
      </c>
      <c r="W21" s="53">
        <f t="shared" si="3"/>
        <v>258.73565289534912</v>
      </c>
      <c r="X21" s="86">
        <f>'Q4 (ii)'!J21</f>
        <v>0.97032000379607708</v>
      </c>
      <c r="Y21" s="87">
        <f t="shared" si="4"/>
        <v>0.29586391632159825</v>
      </c>
      <c r="Z21" s="53">
        <f t="shared" si="15"/>
        <v>251.05637969959565</v>
      </c>
      <c r="AA21" s="41">
        <f t="shared" si="16"/>
        <v>74.278523715444564</v>
      </c>
    </row>
    <row r="22" spans="2:28" x14ac:dyDescent="0.25">
      <c r="B22" s="41">
        <v>19</v>
      </c>
      <c r="C22" s="82">
        <f t="shared" si="17"/>
        <v>49172.041554070471</v>
      </c>
      <c r="D22" s="85">
        <f t="shared" si="5"/>
        <v>2000</v>
      </c>
      <c r="E22" s="82">
        <f t="shared" si="6"/>
        <v>1962.7113081572861</v>
      </c>
      <c r="F22" s="82">
        <f t="shared" si="7"/>
        <v>-19.627113081572862</v>
      </c>
      <c r="G22" s="82">
        <f t="shared" si="8"/>
        <v>53159.73077911204</v>
      </c>
      <c r="H22" s="82">
        <f t="shared" si="9"/>
        <v>-265.79865389556022</v>
      </c>
      <c r="I22" s="82">
        <f t="shared" si="0"/>
        <v>52893.932125216481</v>
      </c>
      <c r="K22" s="45">
        <v>19</v>
      </c>
      <c r="L22" s="82">
        <f t="shared" si="10"/>
        <v>37.288691842713888</v>
      </c>
      <c r="M22" s="82">
        <f t="shared" si="11"/>
        <v>19.627113081572862</v>
      </c>
      <c r="N22" s="85">
        <f>-'Q4 Base'!$G$25</f>
        <v>-25</v>
      </c>
      <c r="O22" s="82">
        <f>-D22*'Q4 Base'!$G$27</f>
        <v>-20</v>
      </c>
      <c r="P22" s="53">
        <f t="shared" si="12"/>
        <v>0.11915804924286746</v>
      </c>
      <c r="Q22" s="85">
        <f t="shared" si="1"/>
        <v>0</v>
      </c>
      <c r="R22" s="41">
        <f>'Q4 (ii)'!H22</f>
        <v>2.0271739698297878E-3</v>
      </c>
      <c r="S22" s="53">
        <f t="shared" si="13"/>
        <v>0</v>
      </c>
      <c r="T22" s="86">
        <f>'Q4 (ii)'!I22</f>
        <v>1.7981738301702016E-3</v>
      </c>
      <c r="U22" s="53">
        <f t="shared" si="14"/>
        <v>-0.47795218352946328</v>
      </c>
      <c r="V22" s="53">
        <f t="shared" si="2"/>
        <v>265.79865389556022</v>
      </c>
      <c r="W22" s="53">
        <f t="shared" si="3"/>
        <v>277.35566468556038</v>
      </c>
      <c r="X22" s="86">
        <f>'Q4 (ii)'!J22</f>
        <v>0.96701886646732249</v>
      </c>
      <c r="Y22" s="87">
        <f t="shared" si="4"/>
        <v>0.27650833301083949</v>
      </c>
      <c r="Z22" s="53">
        <f t="shared" si="15"/>
        <v>268.2081604725214</v>
      </c>
      <c r="AA22" s="41">
        <f t="shared" si="16"/>
        <v>74.16179135216062</v>
      </c>
    </row>
    <row r="23" spans="2:28" x14ac:dyDescent="0.25">
      <c r="B23" s="41">
        <v>20</v>
      </c>
      <c r="C23" s="82">
        <f t="shared" si="17"/>
        <v>52893.932125216481</v>
      </c>
      <c r="D23" s="85">
        <f t="shared" si="5"/>
        <v>2000</v>
      </c>
      <c r="E23" s="82">
        <f t="shared" si="6"/>
        <v>1962.7113081572861</v>
      </c>
      <c r="F23" s="82">
        <f t="shared" si="7"/>
        <v>-19.627113081572862</v>
      </c>
      <c r="G23" s="82">
        <f t="shared" si="8"/>
        <v>57030.496973103887</v>
      </c>
      <c r="H23" s="82">
        <f t="shared" si="9"/>
        <v>-285.15248486551945</v>
      </c>
      <c r="I23" s="82">
        <f t="shared" si="0"/>
        <v>56745.34448823837</v>
      </c>
      <c r="K23" s="45">
        <v>20</v>
      </c>
      <c r="L23" s="82">
        <f t="shared" si="10"/>
        <v>37.288691842713888</v>
      </c>
      <c r="M23" s="82">
        <f t="shared" si="11"/>
        <v>19.627113081572862</v>
      </c>
      <c r="N23" s="85">
        <f>-'Q4 Base'!$G$25</f>
        <v>-25</v>
      </c>
      <c r="O23" s="82">
        <f>-D23*'Q4 Base'!$G$27</f>
        <v>-20</v>
      </c>
      <c r="P23" s="53">
        <f t="shared" si="12"/>
        <v>0.11915804924286746</v>
      </c>
      <c r="Q23" s="85">
        <f t="shared" si="1"/>
        <v>0</v>
      </c>
      <c r="R23" s="41">
        <f>'Q4 (ii)'!H23</f>
        <v>2.2867111104904279E-3</v>
      </c>
      <c r="S23" s="53">
        <f t="shared" si="13"/>
        <v>0</v>
      </c>
      <c r="T23" s="86">
        <f>'Q4 (ii)'!I23</f>
        <v>1.9977108895095821E-3</v>
      </c>
      <c r="U23" s="53">
        <f t="shared" si="14"/>
        <v>-0.56965222418656447</v>
      </c>
      <c r="V23" s="53">
        <f t="shared" si="2"/>
        <v>285.15248486551945</v>
      </c>
      <c r="W23" s="53">
        <f t="shared" si="3"/>
        <v>296.61779561486253</v>
      </c>
      <c r="X23" s="86">
        <f>'Q4 (ii)'!J23</f>
        <v>0.96331968297392323</v>
      </c>
      <c r="Y23" s="87">
        <f t="shared" si="4"/>
        <v>0.2584190028138687</v>
      </c>
      <c r="Z23" s="53">
        <f t="shared" si="15"/>
        <v>285.7377608361333</v>
      </c>
      <c r="AA23" s="41">
        <f t="shared" si="16"/>
        <v>73.840067221541275</v>
      </c>
    </row>
    <row r="25" spans="2:28" x14ac:dyDescent="0.25">
      <c r="Y25" s="41" t="s">
        <v>86</v>
      </c>
      <c r="AA25" s="41">
        <f>SUM(AA4:AA23)</f>
        <v>199.9999999999946</v>
      </c>
    </row>
    <row r="27" spans="2:28" x14ac:dyDescent="0.25">
      <c r="Y27" s="41" t="s">
        <v>87</v>
      </c>
      <c r="AA27" s="88">
        <f>AA25/D2</f>
        <v>9.9999999999997299E-2</v>
      </c>
      <c r="AB27" s="39" t="s">
        <v>97</v>
      </c>
    </row>
    <row r="28" spans="2:28" x14ac:dyDescent="0.25">
      <c r="Y28" s="41" t="s">
        <v>88</v>
      </c>
      <c r="AB28" s="39" t="s">
        <v>97</v>
      </c>
    </row>
  </sheetData>
  <mergeCells count="1">
    <mergeCell ref="D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74FC-5EAF-4746-980D-D40DD032EE1F}">
  <dimension ref="B3:M25"/>
  <sheetViews>
    <sheetView workbookViewId="0">
      <selection activeCell="B5" sqref="B5:C26"/>
    </sheetView>
  </sheetViews>
  <sheetFormatPr defaultRowHeight="15" x14ac:dyDescent="0.25"/>
  <cols>
    <col min="3" max="3" width="10.7109375" customWidth="1"/>
  </cols>
  <sheetData>
    <row r="3" spans="2:13" x14ac:dyDescent="0.25">
      <c r="B3" t="s">
        <v>89</v>
      </c>
    </row>
    <row r="5" spans="2:13" ht="30" x14ac:dyDescent="0.25">
      <c r="B5" s="18" t="s">
        <v>71</v>
      </c>
      <c r="C5" s="18" t="s">
        <v>82</v>
      </c>
    </row>
    <row r="6" spans="2:13" x14ac:dyDescent="0.25">
      <c r="B6" s="10">
        <v>1</v>
      </c>
      <c r="C6" s="9">
        <f>'Q4 (iii)'!W4</f>
        <v>-1024.710335933685</v>
      </c>
      <c r="F6" t="s">
        <v>90</v>
      </c>
    </row>
    <row r="7" spans="2:13" x14ac:dyDescent="0.25">
      <c r="B7" s="10">
        <v>2</v>
      </c>
      <c r="C7" s="9">
        <f>'Q4 (iii)'!W5</f>
        <v>26.686054076640968</v>
      </c>
      <c r="F7" t="s">
        <v>91</v>
      </c>
    </row>
    <row r="8" spans="2:13" x14ac:dyDescent="0.25">
      <c r="B8" s="10">
        <v>3</v>
      </c>
      <c r="C8" s="9">
        <f>'Q4 (iii)'!W6</f>
        <v>38.3667567598388</v>
      </c>
      <c r="F8" t="s">
        <v>92</v>
      </c>
      <c r="M8" s="22" t="s">
        <v>97</v>
      </c>
    </row>
    <row r="9" spans="2:13" x14ac:dyDescent="0.25">
      <c r="B9" s="10">
        <v>4</v>
      </c>
      <c r="C9" s="9">
        <f>'Q4 (iii)'!W7</f>
        <v>50.597108577397066</v>
      </c>
    </row>
    <row r="10" spans="2:13" x14ac:dyDescent="0.25">
      <c r="B10" s="10">
        <v>5</v>
      </c>
      <c r="C10" s="9">
        <f>'Q4 (iii)'!W8</f>
        <v>63.412529455502465</v>
      </c>
    </row>
    <row r="11" spans="2:13" x14ac:dyDescent="0.25">
      <c r="B11" s="10">
        <v>6</v>
      </c>
      <c r="C11" s="9">
        <f>'Q4 (iii)'!W9</f>
        <v>76.870687545459901</v>
      </c>
    </row>
    <row r="12" spans="2:13" x14ac:dyDescent="0.25">
      <c r="B12" s="10">
        <v>7</v>
      </c>
      <c r="C12" s="9">
        <f>'Q4 (iii)'!W10</f>
        <v>90.543635179046873</v>
      </c>
    </row>
    <row r="13" spans="2:13" x14ac:dyDescent="0.25">
      <c r="B13" s="10">
        <v>8</v>
      </c>
      <c r="C13" s="9">
        <f>'Q4 (iii)'!W11</f>
        <v>103.36458044395326</v>
      </c>
    </row>
    <row r="14" spans="2:13" x14ac:dyDescent="0.25">
      <c r="B14" s="10">
        <v>9</v>
      </c>
      <c r="C14" s="9">
        <f>'Q4 (iii)'!W12</f>
        <v>116.61889417968807</v>
      </c>
    </row>
    <row r="15" spans="2:13" x14ac:dyDescent="0.25">
      <c r="B15" s="10">
        <v>10</v>
      </c>
      <c r="C15" s="9">
        <f>'Q4 (iii)'!W13</f>
        <v>130.34152839447319</v>
      </c>
    </row>
    <row r="16" spans="2:13" x14ac:dyDescent="0.25">
      <c r="B16" s="10">
        <v>11</v>
      </c>
      <c r="C16" s="9">
        <f>'Q4 (iii)'!W14</f>
        <v>144.55253838355051</v>
      </c>
    </row>
    <row r="17" spans="2:3" x14ac:dyDescent="0.25">
      <c r="B17" s="10">
        <v>12</v>
      </c>
      <c r="C17" s="9">
        <f>'Q4 (iii)'!W15</f>
        <v>159.24336322928505</v>
      </c>
    </row>
    <row r="18" spans="2:3" x14ac:dyDescent="0.25">
      <c r="B18" s="10">
        <v>13</v>
      </c>
      <c r="C18" s="9">
        <f>'Q4 (iii)'!W16</f>
        <v>174.44289983263116</v>
      </c>
    </row>
    <row r="19" spans="2:3" x14ac:dyDescent="0.25">
      <c r="B19" s="10">
        <v>14</v>
      </c>
      <c r="C19" s="9">
        <f>'Q4 (iii)'!W17</f>
        <v>190.18662584549759</v>
      </c>
    </row>
    <row r="20" spans="2:3" x14ac:dyDescent="0.25">
      <c r="B20" s="10">
        <v>15</v>
      </c>
      <c r="C20" s="9">
        <f>'Q4 (iii)'!W18</f>
        <v>206.4587829445087</v>
      </c>
    </row>
    <row r="21" spans="2:3" x14ac:dyDescent="0.25">
      <c r="B21" s="10">
        <v>16</v>
      </c>
      <c r="C21" s="9">
        <f>'Q4 (iii)'!W19</f>
        <v>223.29452295215651</v>
      </c>
    </row>
    <row r="22" spans="2:3" x14ac:dyDescent="0.25">
      <c r="B22" s="10">
        <v>17</v>
      </c>
      <c r="C22" s="9">
        <f>'Q4 (iii)'!W20</f>
        <v>240.71340112412355</v>
      </c>
    </row>
    <row r="23" spans="2:3" x14ac:dyDescent="0.25">
      <c r="B23" s="10">
        <v>18</v>
      </c>
      <c r="C23" s="9">
        <f>'Q4 (iii)'!W21</f>
        <v>258.73565289534912</v>
      </c>
    </row>
    <row r="24" spans="2:3" x14ac:dyDescent="0.25">
      <c r="B24" s="10">
        <v>19</v>
      </c>
      <c r="C24" s="9">
        <f>'Q4 (iii)'!W22</f>
        <v>277.35566468556038</v>
      </c>
    </row>
    <row r="25" spans="2:3" x14ac:dyDescent="0.25">
      <c r="B25" s="10">
        <v>20</v>
      </c>
      <c r="C25" s="9">
        <f>'Q4 (iii)'!W23</f>
        <v>296.61779561486253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F10A-7393-4348-8713-01359B921359}">
  <dimension ref="A1:L25"/>
  <sheetViews>
    <sheetView workbookViewId="0">
      <selection activeCell="E25" sqref="E25"/>
    </sheetView>
  </sheetViews>
  <sheetFormatPr defaultRowHeight="15" x14ac:dyDescent="0.25"/>
  <cols>
    <col min="1" max="1" width="9.140625" style="23"/>
    <col min="2" max="2" width="10.5703125" bestFit="1" customWidth="1"/>
    <col min="7" max="7" width="9.7109375" customWidth="1"/>
    <col min="11" max="11" width="9.5703125" bestFit="1" customWidth="1"/>
  </cols>
  <sheetData>
    <row r="1" spans="1:12" x14ac:dyDescent="0.25">
      <c r="B1" s="23" t="s">
        <v>100</v>
      </c>
      <c r="D1" s="38" t="s">
        <v>154</v>
      </c>
      <c r="E1" s="38"/>
      <c r="G1" s="23" t="s">
        <v>130</v>
      </c>
    </row>
    <row r="2" spans="1:12" ht="32.25" customHeight="1" x14ac:dyDescent="0.25">
      <c r="A2" s="31" t="s">
        <v>71</v>
      </c>
      <c r="B2" s="31" t="s">
        <v>133</v>
      </c>
      <c r="D2" s="18" t="s">
        <v>134</v>
      </c>
      <c r="E2" s="18" t="s">
        <v>108</v>
      </c>
      <c r="G2" s="31" t="s">
        <v>135</v>
      </c>
      <c r="I2" s="23" t="s">
        <v>131</v>
      </c>
      <c r="J2" s="18" t="s">
        <v>71</v>
      </c>
      <c r="K2" s="18" t="s">
        <v>82</v>
      </c>
      <c r="L2" t="s">
        <v>90</v>
      </c>
    </row>
    <row r="3" spans="1:12" x14ac:dyDescent="0.25">
      <c r="A3" s="23">
        <v>1</v>
      </c>
      <c r="B3" s="9">
        <f>'Q4 (i)'!I4</f>
        <v>1946.4588000000001</v>
      </c>
      <c r="D3">
        <f>'Q4 (ii)'!H4</f>
        <v>5.0389920174792385E-4</v>
      </c>
      <c r="E3">
        <f>'Q4 (ii)'!I4</f>
        <v>3.9989919825195386E-4</v>
      </c>
      <c r="G3" s="11">
        <f>'Q4 (iii)'!E2</f>
        <v>0.981355654078643</v>
      </c>
      <c r="J3" s="10">
        <v>1</v>
      </c>
      <c r="K3" s="9">
        <f>'Q4 (iv)'!C6</f>
        <v>-1024.710335933685</v>
      </c>
      <c r="L3" t="s">
        <v>91</v>
      </c>
    </row>
    <row r="4" spans="1:12" x14ac:dyDescent="0.25">
      <c r="A4" s="23">
        <v>2</v>
      </c>
      <c r="B4" s="9">
        <f>'Q4 (i)'!I5</f>
        <v>3960.6543662400004</v>
      </c>
      <c r="D4">
        <f>'Q4 (ii)'!H5</f>
        <v>5.4089180254389304E-4</v>
      </c>
      <c r="E4">
        <f>'Q4 (ii)'!I5</f>
        <v>3.9989179745604617E-4</v>
      </c>
      <c r="J4" s="10">
        <v>2</v>
      </c>
      <c r="K4" s="9">
        <f>'Q4 (iv)'!C7</f>
        <v>26.686054076640968</v>
      </c>
      <c r="L4" t="s">
        <v>92</v>
      </c>
    </row>
    <row r="5" spans="1:12" x14ac:dyDescent="0.25">
      <c r="A5" s="23">
        <v>3</v>
      </c>
      <c r="B5" s="9">
        <f>'Q4 (i)'!I6</f>
        <v>6044.9439381851525</v>
      </c>
      <c r="D5">
        <f>'Q4 (ii)'!H6</f>
        <v>5.7487062769669692E-4</v>
      </c>
      <c r="E5">
        <f>'Q4 (ii)'!I6</f>
        <v>4.4987062230326393E-4</v>
      </c>
      <c r="J5" s="10">
        <v>3</v>
      </c>
      <c r="K5" s="9">
        <f>'Q4 (iv)'!C8</f>
        <v>38.3667567598388</v>
      </c>
    </row>
    <row r="6" spans="1:12" x14ac:dyDescent="0.25">
      <c r="A6" s="23">
        <v>4</v>
      </c>
      <c r="B6" s="9">
        <f>'Q4 (i)'!I7</f>
        <v>8201.7667872339953</v>
      </c>
      <c r="D6">
        <f>'Q4 (ii)'!H7</f>
        <v>6.1186230371980551E-4</v>
      </c>
      <c r="E6">
        <f>'Q4 (ii)'!I7</f>
        <v>4.4986229628006373E-4</v>
      </c>
      <c r="J6" s="10">
        <v>4</v>
      </c>
      <c r="K6" s="9">
        <f>'Q4 (iv)'!C9</f>
        <v>50.597108577397066</v>
      </c>
    </row>
    <row r="7" spans="1:12" x14ac:dyDescent="0.25">
      <c r="A7" s="23">
        <v>5</v>
      </c>
      <c r="B7" s="9">
        <f>'Q4 (i)'!I8</f>
        <v>10433.647071429739</v>
      </c>
      <c r="D7">
        <f>'Q4 (ii)'!H8</f>
        <v>6.5283675416527034E-4</v>
      </c>
      <c r="E7">
        <f>'Q4 (ii)'!I8</f>
        <v>4.9983674583465297E-4</v>
      </c>
      <c r="J7" s="10">
        <v>5</v>
      </c>
      <c r="K7" s="9">
        <f>'Q4 (iv)'!C10</f>
        <v>63.412529455502465</v>
      </c>
    </row>
    <row r="8" spans="1:12" x14ac:dyDescent="0.25">
      <c r="A8" s="23">
        <v>6</v>
      </c>
      <c r="B8" s="9">
        <f>'Q4 (i)'!I9</f>
        <v>12743.196789515496</v>
      </c>
      <c r="D8">
        <f>'Q4 (ii)'!H9</f>
        <v>6.9580860466031554E-4</v>
      </c>
      <c r="E8">
        <f>'Q4 (ii)'!I9</f>
        <v>5.4980859533973307E-4</v>
      </c>
      <c r="I8" s="23"/>
      <c r="J8" s="10">
        <v>6</v>
      </c>
      <c r="K8" s="9">
        <f>'Q4 (iv)'!C11</f>
        <v>76.870687545459901</v>
      </c>
    </row>
    <row r="9" spans="1:12" x14ac:dyDescent="0.25">
      <c r="A9" s="23">
        <v>7</v>
      </c>
      <c r="B9" s="9">
        <f>'Q4 (i)'!I10</f>
        <v>15133.118837790635</v>
      </c>
      <c r="D9">
        <f>'Q4 (ii)'!H10</f>
        <v>7.4677590549420184E-4</v>
      </c>
      <c r="E9">
        <f>'Q4 (ii)'!I10</f>
        <v>5.9977589450589338E-4</v>
      </c>
      <c r="J9" s="10">
        <v>7</v>
      </c>
      <c r="K9" s="9">
        <f>'Q4 (iv)'!C12</f>
        <v>90.543635179046873</v>
      </c>
    </row>
    <row r="10" spans="1:12" x14ac:dyDescent="0.25">
      <c r="A10" s="23">
        <v>8</v>
      </c>
      <c r="B10" s="9">
        <f>'Q4 (i)'!I11</f>
        <v>17606.210173345749</v>
      </c>
      <c r="D10">
        <f>'Q4 (ii)'!H11</f>
        <v>8.0171930477543286E-4</v>
      </c>
      <c r="E10">
        <f>'Q4 (ii)'!I11</f>
        <v>6.9971929522452756E-4</v>
      </c>
      <c r="J10" s="10">
        <v>8</v>
      </c>
      <c r="K10" s="9">
        <f>'Q4 (iv)'!C13</f>
        <v>103.36458044395326</v>
      </c>
    </row>
    <row r="11" spans="1:12" x14ac:dyDescent="0.25">
      <c r="A11" s="23">
        <v>9</v>
      </c>
      <c r="B11" s="9">
        <f>'Q4 (i)'!I12</f>
        <v>20165.365087378181</v>
      </c>
      <c r="D11">
        <f>'Q4 (ii)'!H12</f>
        <v>8.5361569705114581E-4</v>
      </c>
      <c r="E11">
        <f>'Q4 (ii)'!I12</f>
        <v>8.9961570294890903E-4</v>
      </c>
      <c r="J11" s="10">
        <v>9</v>
      </c>
      <c r="K11" s="9">
        <f>'Q4 (iv)'!C14</f>
        <v>116.61889417968807</v>
      </c>
    </row>
    <row r="12" spans="1:12" x14ac:dyDescent="0.25">
      <c r="A12" s="23">
        <v>10</v>
      </c>
      <c r="B12" s="9">
        <f>'Q4 (i)'!I13</f>
        <v>22813.578592418944</v>
      </c>
      <c r="D12">
        <f>'Q4 (ii)'!H13</f>
        <v>9.0054949255969372E-4</v>
      </c>
      <c r="E12">
        <f>'Q4 (ii)'!I13</f>
        <v>9.9954950744029483E-4</v>
      </c>
      <c r="J12" s="10">
        <v>10</v>
      </c>
      <c r="K12" s="9">
        <f>'Q4 (iv)'!C15</f>
        <v>130.34152839447319</v>
      </c>
    </row>
    <row r="13" spans="1:12" x14ac:dyDescent="0.25">
      <c r="A13" s="23">
        <v>11</v>
      </c>
      <c r="B13" s="9">
        <f>'Q4 (i)'!I14</f>
        <v>25553.949927435122</v>
      </c>
      <c r="D13">
        <f>'Q4 (ii)'!H14</f>
        <v>9.4852549596278004E-4</v>
      </c>
      <c r="E13">
        <f>'Q4 (ii)'!I14</f>
        <v>9.9952550403717075E-4</v>
      </c>
      <c r="J13" s="10">
        <v>11</v>
      </c>
      <c r="K13" s="9">
        <f>'Q4 (iv)'!C16</f>
        <v>144.55253838355051</v>
      </c>
    </row>
    <row r="14" spans="1:12" x14ac:dyDescent="0.25">
      <c r="A14" s="23">
        <v>12</v>
      </c>
      <c r="B14" s="9">
        <f>'Q4 (i)'!I15</f>
        <v>28389.686184909868</v>
      </c>
      <c r="D14">
        <f>'Q4 (ii)'!H15</f>
        <v>1.0064461414062773E-3</v>
      </c>
      <c r="E14">
        <f>'Q4 (ii)'!I15</f>
        <v>1.0994461585937456E-3</v>
      </c>
      <c r="J14" s="10">
        <v>12</v>
      </c>
      <c r="K14" s="9">
        <f>'Q4 (iv)'!C17</f>
        <v>159.24336322928505</v>
      </c>
    </row>
    <row r="15" spans="1:12" x14ac:dyDescent="0.25">
      <c r="A15" s="23">
        <v>13</v>
      </c>
      <c r="B15" s="9">
        <f>'Q4 (i)'!I16</f>
        <v>31324.106064144733</v>
      </c>
      <c r="D15">
        <f>'Q4 (ii)'!H16</f>
        <v>1.0823501873143894E-3</v>
      </c>
      <c r="E15">
        <f>'Q4 (ii)'!I16</f>
        <v>1.1993502126855862E-3</v>
      </c>
      <c r="J15" s="10">
        <v>13</v>
      </c>
      <c r="K15" s="9">
        <f>'Q4 (iv)'!C18</f>
        <v>174.44289983263116</v>
      </c>
    </row>
    <row r="16" spans="1:12" x14ac:dyDescent="0.25">
      <c r="A16" s="23">
        <v>14</v>
      </c>
      <c r="B16" s="9">
        <f>'Q4 (i)'!I17</f>
        <v>34360.64375517697</v>
      </c>
      <c r="D16">
        <f>'Q4 (ii)'!H17</f>
        <v>1.1782925975211711E-3</v>
      </c>
      <c r="E16">
        <f>'Q4 (ii)'!I17</f>
        <v>1.1992926024788054E-3</v>
      </c>
      <c r="J16" s="10">
        <v>14</v>
      </c>
      <c r="K16" s="9">
        <f>'Q4 (iv)'!C19</f>
        <v>190.18662584549759</v>
      </c>
    </row>
    <row r="17" spans="1:11" x14ac:dyDescent="0.25">
      <c r="A17" s="23">
        <v>15</v>
      </c>
      <c r="B17" s="9">
        <f>'Q4 (i)'!I18</f>
        <v>37502.852957857132</v>
      </c>
      <c r="D17">
        <f>'Q4 (ii)'!H18</f>
        <v>1.2991549999999408E-3</v>
      </c>
      <c r="E17">
        <f>'Q4 (ii)'!I18</f>
        <v>1.2991549999999408E-3</v>
      </c>
      <c r="J17" s="10">
        <v>15</v>
      </c>
      <c r="K17" s="9">
        <f>'Q4 (iv)'!C20</f>
        <v>206.4587829445087</v>
      </c>
    </row>
    <row r="18" spans="1:11" x14ac:dyDescent="0.25">
      <c r="A18" s="23">
        <v>16</v>
      </c>
      <c r="B18" s="9">
        <f>'Q4 (i)'!I19</f>
        <v>40754.411040790561</v>
      </c>
      <c r="D18">
        <f>'Q4 (ii)'!H19</f>
        <v>1.445987107945684E-3</v>
      </c>
      <c r="E18">
        <f>'Q4 (ii)'!I19</f>
        <v>1.3989870920542774E-3</v>
      </c>
      <c r="J18" s="10">
        <v>16</v>
      </c>
      <c r="K18" s="9">
        <f>'Q4 (iv)'!C21</f>
        <v>223.29452295215651</v>
      </c>
    </row>
    <row r="19" spans="1:11" x14ac:dyDescent="0.25">
      <c r="A19" s="23">
        <v>17</v>
      </c>
      <c r="B19" s="9">
        <f>'Q4 (i)'!I20</f>
        <v>44119.123345010077</v>
      </c>
      <c r="D19">
        <f>'Q4 (ii)'!H20</f>
        <v>1.6127895230353528E-3</v>
      </c>
      <c r="E19">
        <f>'Q4 (ii)'!I20</f>
        <v>1.4987894769645672E-3</v>
      </c>
      <c r="J19" s="10">
        <v>17</v>
      </c>
      <c r="K19" s="9">
        <f>'Q4 (iv)'!C22</f>
        <v>240.71340112412355</v>
      </c>
    </row>
    <row r="20" spans="1:11" x14ac:dyDescent="0.25">
      <c r="A20" s="23">
        <v>18</v>
      </c>
      <c r="B20" s="9">
        <f>'Q4 (i)'!I21</f>
        <v>47600.927637416426</v>
      </c>
      <c r="D20">
        <f>'Q4 (ii)'!H21</f>
        <v>1.8035560494207281E-3</v>
      </c>
      <c r="E20">
        <f>'Q4 (ii)'!I21</f>
        <v>1.5985559505792288E-3</v>
      </c>
      <c r="J20" s="10">
        <v>18</v>
      </c>
      <c r="K20" s="9">
        <f>'Q4 (iv)'!C23</f>
        <v>258.73565289534912</v>
      </c>
    </row>
    <row r="21" spans="1:11" x14ac:dyDescent="0.25">
      <c r="A21" s="23">
        <v>19</v>
      </c>
      <c r="B21" s="9">
        <f>'Q4 (i)'!I22</f>
        <v>51203.898719198522</v>
      </c>
      <c r="D21">
        <f>'Q4 (ii)'!H22</f>
        <v>2.0271739698297878E-3</v>
      </c>
      <c r="E21">
        <f>'Q4 (ii)'!I22</f>
        <v>1.7981738301702016E-3</v>
      </c>
      <c r="J21" s="10">
        <v>19</v>
      </c>
      <c r="K21" s="9">
        <f>'Q4 (iv)'!C24</f>
        <v>277.35566468556038</v>
      </c>
    </row>
    <row r="22" spans="1:11" x14ac:dyDescent="0.25">
      <c r="A22" s="23">
        <v>20</v>
      </c>
      <c r="B22" s="9">
        <f>'Q4 (i)'!I23</f>
        <v>54932.253194626632</v>
      </c>
      <c r="D22">
        <f>'Q4 (ii)'!H23</f>
        <v>2.2867111104904279E-3</v>
      </c>
      <c r="E22">
        <f>'Q4 (ii)'!I23</f>
        <v>1.9977108895095821E-3</v>
      </c>
      <c r="J22" s="10">
        <v>20</v>
      </c>
      <c r="K22" s="9">
        <f>'Q4 (iv)'!C25</f>
        <v>296.61779561486253</v>
      </c>
    </row>
    <row r="24" spans="1:11" x14ac:dyDescent="0.25">
      <c r="E24" t="s">
        <v>155</v>
      </c>
    </row>
    <row r="25" spans="1:11" x14ac:dyDescent="0.25">
      <c r="E25">
        <f>'Q4 (ii)'!J24</f>
        <v>0.9591924149311567</v>
      </c>
    </row>
  </sheetData>
  <mergeCells count="1"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2B5F-6CFC-48DA-9E72-C3FD0FDBE333}">
  <dimension ref="A1:Q32"/>
  <sheetViews>
    <sheetView workbookViewId="0">
      <selection activeCell="A2" sqref="A2"/>
    </sheetView>
  </sheetViews>
  <sheetFormatPr defaultRowHeight="15" x14ac:dyDescent="0.25"/>
  <cols>
    <col min="1" max="1" width="9.140625" style="41"/>
    <col min="2" max="2" width="13.28515625" style="41" bestFit="1" customWidth="1"/>
    <col min="3" max="3" width="10.5703125" style="41" bestFit="1" customWidth="1"/>
    <col min="4" max="4" width="11.5703125" style="41" bestFit="1" customWidth="1"/>
    <col min="5" max="6" width="12.7109375" style="41" customWidth="1"/>
    <col min="7" max="8" width="10.5703125" style="41" customWidth="1"/>
    <col min="9" max="9" width="12.5703125" style="41" customWidth="1"/>
    <col min="10" max="10" width="10.5703125" style="41" bestFit="1" customWidth="1"/>
    <col min="11" max="11" width="13.42578125" style="41" customWidth="1"/>
    <col min="12" max="13" width="14.140625" style="41" customWidth="1"/>
    <col min="14" max="15" width="9.140625" style="41"/>
    <col min="16" max="16" width="12.140625" style="41" bestFit="1" customWidth="1"/>
    <col min="17" max="17" width="12.140625" style="41" customWidth="1"/>
    <col min="18" max="19" width="10.5703125" style="41" customWidth="1"/>
    <col min="20" max="16384" width="9.140625" style="41"/>
  </cols>
  <sheetData>
    <row r="1" spans="1:17" s="39" customFormat="1" x14ac:dyDescent="0.25">
      <c r="C1" s="39" t="s">
        <v>93</v>
      </c>
      <c r="D1" s="39" t="s">
        <v>97</v>
      </c>
      <c r="E1" s="40" t="s">
        <v>93</v>
      </c>
      <c r="F1" s="40"/>
      <c r="J1" s="39" t="s">
        <v>96</v>
      </c>
      <c r="K1" s="39" t="s">
        <v>96</v>
      </c>
      <c r="L1" s="40" t="s">
        <v>96</v>
      </c>
      <c r="M1" s="40"/>
    </row>
    <row r="2" spans="1:17" x14ac:dyDescent="0.25">
      <c r="B2" s="41" t="s">
        <v>36</v>
      </c>
      <c r="C2" s="41" t="s">
        <v>37</v>
      </c>
      <c r="I2" s="41" t="s">
        <v>38</v>
      </c>
      <c r="J2" s="41" t="s">
        <v>37</v>
      </c>
      <c r="O2" s="41" t="s">
        <v>118</v>
      </c>
    </row>
    <row r="3" spans="1:17" x14ac:dyDescent="0.25">
      <c r="C3" s="42">
        <v>9.1843905495597664E-2</v>
      </c>
      <c r="D3" s="43">
        <f>E3</f>
        <v>4.4999999999999998E-2</v>
      </c>
      <c r="E3" s="43">
        <v>4.4999999999999998E-2</v>
      </c>
      <c r="F3" s="43">
        <v>4.4999999999999998E-2</v>
      </c>
      <c r="J3" s="42">
        <v>9.6367662300115314E-2</v>
      </c>
      <c r="K3" s="43">
        <f>E3</f>
        <v>4.4999999999999998E-2</v>
      </c>
      <c r="L3" s="43">
        <f>E3</f>
        <v>4.4999999999999998E-2</v>
      </c>
      <c r="M3" s="43">
        <f>F3</f>
        <v>4.4999999999999998E-2</v>
      </c>
      <c r="O3" s="41" t="s">
        <v>119</v>
      </c>
    </row>
    <row r="4" spans="1:17" s="44" customFormat="1" ht="45" x14ac:dyDescent="0.25">
      <c r="A4" s="44" t="s">
        <v>23</v>
      </c>
      <c r="B4" s="44" t="s">
        <v>148</v>
      </c>
      <c r="D4" s="44" t="s">
        <v>149</v>
      </c>
      <c r="E4" s="44" t="s">
        <v>150</v>
      </c>
      <c r="F4" s="44" t="s">
        <v>179</v>
      </c>
      <c r="I4" s="44" t="s">
        <v>148</v>
      </c>
      <c r="K4" s="44" t="s">
        <v>151</v>
      </c>
      <c r="L4" s="44" t="s">
        <v>150</v>
      </c>
      <c r="M4" s="44" t="s">
        <v>179</v>
      </c>
    </row>
    <row r="5" spans="1:17" x14ac:dyDescent="0.25">
      <c r="A5" s="41">
        <v>1</v>
      </c>
      <c r="B5" s="45">
        <f>'Q1 Base'!B5</f>
        <v>-500000</v>
      </c>
      <c r="C5" s="45">
        <f>B5/(1+$C$3)^A5</f>
        <v>-457940.9176378976</v>
      </c>
      <c r="D5" s="45">
        <f t="shared" ref="D5:D29" si="0">B5/(1+$D$3)^A5</f>
        <v>-478468.89952153113</v>
      </c>
      <c r="E5" s="45">
        <f>B5</f>
        <v>-500000</v>
      </c>
      <c r="F5" s="45">
        <f>D5</f>
        <v>-478468.89952153113</v>
      </c>
      <c r="I5" s="45">
        <f>'Q1 Base'!C5</f>
        <v>-1000000</v>
      </c>
      <c r="J5" s="45">
        <f t="shared" ref="J5:J29" si="1">I5/(1+$J$3)^A5</f>
        <v>-912102.78667108668</v>
      </c>
      <c r="K5" s="45">
        <f t="shared" ref="K5:K29" si="2">I5/(1+$K$3)^A5</f>
        <v>-956937.79904306226</v>
      </c>
      <c r="L5" s="45">
        <f>I5</f>
        <v>-1000000</v>
      </c>
      <c r="M5" s="45">
        <f>K5</f>
        <v>-956937.79904306226</v>
      </c>
      <c r="P5" s="41" t="s">
        <v>37</v>
      </c>
    </row>
    <row r="6" spans="1:17" x14ac:dyDescent="0.25">
      <c r="A6" s="41">
        <v>2</v>
      </c>
      <c r="B6" s="45">
        <f>'Q1 Base'!B6</f>
        <v>-150000</v>
      </c>
      <c r="C6" s="45">
        <f t="shared" ref="C6:C29" si="3">B6/(1+$C$3)^A6</f>
        <v>-125825.93042822383</v>
      </c>
      <c r="D6" s="45">
        <f t="shared" si="0"/>
        <v>-137359.49268560705</v>
      </c>
      <c r="E6" s="45">
        <f>E5*(1+$E$3)+B6</f>
        <v>-672500</v>
      </c>
      <c r="F6" s="45">
        <f>F5+D6</f>
        <v>-615828.39220713824</v>
      </c>
      <c r="I6" s="45">
        <f>'Q1 Base'!C6</f>
        <v>125000</v>
      </c>
      <c r="J6" s="45">
        <f t="shared" si="1"/>
        <v>103991.43668164522</v>
      </c>
      <c r="K6" s="45">
        <f t="shared" si="2"/>
        <v>114466.24390467253</v>
      </c>
      <c r="L6" s="45">
        <f>L5*(1+$L$3)+I6</f>
        <v>-919999.99999999988</v>
      </c>
      <c r="M6" s="45">
        <f>M5+K6</f>
        <v>-842471.5551383897</v>
      </c>
      <c r="P6" s="41" t="s">
        <v>45</v>
      </c>
      <c r="Q6" s="41" t="s">
        <v>46</v>
      </c>
    </row>
    <row r="7" spans="1:17" x14ac:dyDescent="0.25">
      <c r="A7" s="41">
        <v>3</v>
      </c>
      <c r="B7" s="45">
        <f>'Q1 Base'!B7</f>
        <v>-25000</v>
      </c>
      <c r="C7" s="45">
        <f t="shared" si="3"/>
        <v>-19206.947347647696</v>
      </c>
      <c r="D7" s="45">
        <f t="shared" si="0"/>
        <v>-21907.415101372731</v>
      </c>
      <c r="E7" s="45">
        <f t="shared" ref="E7:E29" si="4">E6*(1+$E$3)+B7</f>
        <v>-727762.5</v>
      </c>
      <c r="F7" s="45">
        <f t="shared" ref="F7:F29" si="5">F6+D7</f>
        <v>-637735.80730851099</v>
      </c>
      <c r="I7" s="45">
        <f>'Q1 Base'!C7</f>
        <v>125000</v>
      </c>
      <c r="J7" s="45">
        <f t="shared" si="1"/>
        <v>94850.87918725847</v>
      </c>
      <c r="K7" s="45">
        <f t="shared" si="2"/>
        <v>109537.07550686366</v>
      </c>
      <c r="L7" s="45">
        <f t="shared" ref="L7:L29" si="6">L6*(1+$L$3)+I7</f>
        <v>-836399.99999999977</v>
      </c>
      <c r="M7" s="45">
        <f t="shared" ref="M7:M29" si="7">M6+K7</f>
        <v>-732934.47963152605</v>
      </c>
      <c r="P7" s="43">
        <f>C3</f>
        <v>9.1843905495597664E-2</v>
      </c>
      <c r="Q7" s="43">
        <f>J3</f>
        <v>9.6367662300115314E-2</v>
      </c>
    </row>
    <row r="8" spans="1:17" x14ac:dyDescent="0.25">
      <c r="A8" s="41">
        <v>4</v>
      </c>
      <c r="B8" s="45">
        <f>'Q1 Base'!B8</f>
        <v>-25000</v>
      </c>
      <c r="C8" s="45">
        <f t="shared" si="3"/>
        <v>-17591.294186809137</v>
      </c>
      <c r="D8" s="45">
        <f t="shared" si="0"/>
        <v>-20964.033589830371</v>
      </c>
      <c r="E8" s="45">
        <f t="shared" si="4"/>
        <v>-785511.8125</v>
      </c>
      <c r="F8" s="45">
        <f t="shared" si="5"/>
        <v>-658699.84089834138</v>
      </c>
      <c r="I8" s="45">
        <f>'Q1 Base'!C8</f>
        <v>125000</v>
      </c>
      <c r="J8" s="45">
        <f t="shared" si="1"/>
        <v>86513.751224901032</v>
      </c>
      <c r="K8" s="45">
        <f t="shared" si="2"/>
        <v>104820.16794915186</v>
      </c>
      <c r="L8" s="45">
        <f t="shared" si="6"/>
        <v>-749037.99999999965</v>
      </c>
      <c r="M8" s="45">
        <f t="shared" si="7"/>
        <v>-628114.31168237422</v>
      </c>
    </row>
    <row r="9" spans="1:17" x14ac:dyDescent="0.25">
      <c r="A9" s="41">
        <v>5</v>
      </c>
      <c r="B9" s="45">
        <f>'Q1 Base'!B9</f>
        <v>-25000</v>
      </c>
      <c r="C9" s="45">
        <f t="shared" si="3"/>
        <v>-16111.546804691181</v>
      </c>
      <c r="D9" s="45">
        <f t="shared" si="0"/>
        <v>-20061.276162517104</v>
      </c>
      <c r="E9" s="45">
        <f t="shared" si="4"/>
        <v>-845859.84406249993</v>
      </c>
      <c r="F9" s="45">
        <f t="shared" si="5"/>
        <v>-678761.11706085852</v>
      </c>
      <c r="I9" s="45">
        <f>'Q1 Base'!C9</f>
        <v>125000</v>
      </c>
      <c r="J9" s="45">
        <f t="shared" si="1"/>
        <v>78909.433577601361</v>
      </c>
      <c r="K9" s="45">
        <f t="shared" si="2"/>
        <v>100306.38081258551</v>
      </c>
      <c r="L9" s="45">
        <f t="shared" si="6"/>
        <v>-657744.70999999961</v>
      </c>
      <c r="M9" s="45">
        <f t="shared" si="7"/>
        <v>-527807.93086978875</v>
      </c>
      <c r="P9" s="41" t="s">
        <v>40</v>
      </c>
    </row>
    <row r="10" spans="1:17" x14ac:dyDescent="0.25">
      <c r="A10" s="41">
        <v>6</v>
      </c>
      <c r="B10" s="45">
        <f>'Q1 Base'!B10</f>
        <v>127500</v>
      </c>
      <c r="C10" s="45">
        <f t="shared" si="3"/>
        <v>75256.992588723399</v>
      </c>
      <c r="D10" s="45">
        <f t="shared" si="0"/>
        <v>97906.706630466273</v>
      </c>
      <c r="E10" s="45">
        <f t="shared" si="4"/>
        <v>-756423.53704531235</v>
      </c>
      <c r="F10" s="45">
        <f t="shared" si="5"/>
        <v>-580854.41043039225</v>
      </c>
      <c r="I10" s="45">
        <f>'Q1 Base'!C10</f>
        <v>125000</v>
      </c>
      <c r="J10" s="45">
        <f t="shared" si="1"/>
        <v>71973.514260767217</v>
      </c>
      <c r="K10" s="45">
        <f t="shared" si="2"/>
        <v>95986.967284770843</v>
      </c>
      <c r="L10" s="45">
        <f t="shared" si="6"/>
        <v>-562343.22194999957</v>
      </c>
      <c r="M10" s="45">
        <f t="shared" si="7"/>
        <v>-431820.96358501789</v>
      </c>
      <c r="P10" s="41" t="s">
        <v>45</v>
      </c>
      <c r="Q10" s="41" t="s">
        <v>46</v>
      </c>
    </row>
    <row r="11" spans="1:17" x14ac:dyDescent="0.25">
      <c r="A11" s="41">
        <v>7</v>
      </c>
      <c r="B11" s="45">
        <f>'Q1 Base'!B11</f>
        <v>130050</v>
      </c>
      <c r="C11" s="45">
        <f>B11/(1+$C$3)^A11</f>
        <v>70305.042739286859</v>
      </c>
      <c r="D11" s="45">
        <f t="shared" si="0"/>
        <v>95564.440921603426</v>
      </c>
      <c r="E11" s="45">
        <f t="shared" si="4"/>
        <v>-660412.59621235135</v>
      </c>
      <c r="F11" s="45">
        <f t="shared" si="5"/>
        <v>-485289.96950878884</v>
      </c>
      <c r="I11" s="45">
        <f>'Q1 Base'!C11</f>
        <v>125000</v>
      </c>
      <c r="J11" s="45">
        <f t="shared" si="1"/>
        <v>65647.242923756974</v>
      </c>
      <c r="K11" s="45">
        <f t="shared" si="2"/>
        <v>91853.55721030703</v>
      </c>
      <c r="L11" s="45">
        <f t="shared" si="6"/>
        <v>-462648.66693774948</v>
      </c>
      <c r="M11" s="45">
        <f t="shared" si="7"/>
        <v>-339967.40637471084</v>
      </c>
      <c r="P11" s="46">
        <f>D31</f>
        <v>498373.63923597004</v>
      </c>
      <c r="Q11" s="46">
        <f>K31</f>
        <v>485516.15090268059</v>
      </c>
    </row>
    <row r="12" spans="1:17" x14ac:dyDescent="0.25">
      <c r="A12" s="41">
        <v>8</v>
      </c>
      <c r="B12" s="45">
        <f>'Q1 Base'!B12</f>
        <v>132651</v>
      </c>
      <c r="C12" s="45">
        <f t="shared" si="3"/>
        <v>65678.933804665285</v>
      </c>
      <c r="D12" s="45">
        <f t="shared" si="0"/>
        <v>93278.210277545964</v>
      </c>
      <c r="E12" s="45">
        <f t="shared" si="4"/>
        <v>-557480.16304190713</v>
      </c>
      <c r="F12" s="45">
        <f t="shared" si="5"/>
        <v>-392011.75923124288</v>
      </c>
      <c r="I12" s="45">
        <f>'Q1 Base'!C12</f>
        <v>125000</v>
      </c>
      <c r="J12" s="45">
        <f t="shared" si="1"/>
        <v>59877.03320803251</v>
      </c>
      <c r="K12" s="45">
        <f t="shared" si="2"/>
        <v>87898.140871107229</v>
      </c>
      <c r="L12" s="45">
        <f t="shared" si="6"/>
        <v>-358467.85694994818</v>
      </c>
      <c r="M12" s="45">
        <f t="shared" si="7"/>
        <v>-252069.26550360362</v>
      </c>
    </row>
    <row r="13" spans="1:17" x14ac:dyDescent="0.25">
      <c r="A13" s="41">
        <v>9</v>
      </c>
      <c r="B13" s="45">
        <f>'Q1 Base'!B13</f>
        <v>135304.01999999999</v>
      </c>
      <c r="C13" s="45">
        <f t="shared" si="3"/>
        <v>61357.225280613799</v>
      </c>
      <c r="D13" s="45">
        <f t="shared" si="0"/>
        <v>91046.674146504185</v>
      </c>
      <c r="E13" s="45">
        <f t="shared" si="4"/>
        <v>-447262.75037879287</v>
      </c>
      <c r="F13" s="45">
        <f t="shared" si="5"/>
        <v>-300965.08508473868</v>
      </c>
      <c r="I13" s="45">
        <f>'Q1 Base'!C13</f>
        <v>125000</v>
      </c>
      <c r="J13" s="45">
        <f t="shared" si="1"/>
        <v>54614.00884664365</v>
      </c>
      <c r="K13" s="45">
        <f t="shared" si="2"/>
        <v>84113.053465174395</v>
      </c>
      <c r="L13" s="45">
        <f t="shared" si="6"/>
        <v>-249598.91051269585</v>
      </c>
      <c r="M13" s="45">
        <f t="shared" si="7"/>
        <v>-167956.21203842922</v>
      </c>
      <c r="O13" s="41" t="s">
        <v>120</v>
      </c>
    </row>
    <row r="14" spans="1:17" x14ac:dyDescent="0.25">
      <c r="A14" s="41">
        <v>10</v>
      </c>
      <c r="B14" s="45">
        <f>'Q1 Base'!B14</f>
        <v>-111989.8996</v>
      </c>
      <c r="C14" s="45">
        <f t="shared" si="3"/>
        <v>-46512.888716514077</v>
      </c>
      <c r="D14" s="45">
        <f t="shared" si="0"/>
        <v>-72113.396460205273</v>
      </c>
      <c r="E14" s="45">
        <f t="shared" si="4"/>
        <v>-579379.47374583851</v>
      </c>
      <c r="F14" s="45">
        <f t="shared" si="5"/>
        <v>-373078.48154494393</v>
      </c>
      <c r="I14" s="45">
        <f>'Q1 Base'!C14</f>
        <v>-125000</v>
      </c>
      <c r="J14" s="45">
        <f t="shared" si="1"/>
        <v>-49813.589660303056</v>
      </c>
      <c r="K14" s="45">
        <f t="shared" si="2"/>
        <v>-80490.960253755416</v>
      </c>
      <c r="L14" s="45">
        <f t="shared" si="6"/>
        <v>-385830.86148576718</v>
      </c>
      <c r="M14" s="45">
        <f t="shared" si="7"/>
        <v>-248447.17229218464</v>
      </c>
      <c r="O14" s="41" t="s">
        <v>121</v>
      </c>
    </row>
    <row r="15" spans="1:17" x14ac:dyDescent="0.25">
      <c r="A15" s="41">
        <v>11</v>
      </c>
      <c r="B15" s="45">
        <f>'Q1 Base'!B15</f>
        <v>140770.30240799999</v>
      </c>
      <c r="C15" s="45">
        <f t="shared" si="3"/>
        <v>53548.208598588222</v>
      </c>
      <c r="D15" s="45">
        <f t="shared" si="0"/>
        <v>86742.482802154685</v>
      </c>
      <c r="E15" s="45">
        <f t="shared" si="4"/>
        <v>-464681.24765640125</v>
      </c>
      <c r="F15" s="45">
        <f t="shared" si="5"/>
        <v>-286335.99874278926</v>
      </c>
      <c r="I15" s="45">
        <f>'Q1 Base'!C15</f>
        <v>125000</v>
      </c>
      <c r="J15" s="45">
        <f t="shared" si="1"/>
        <v>45435.113943252443</v>
      </c>
      <c r="K15" s="45">
        <f t="shared" si="2"/>
        <v>77024.842348091304</v>
      </c>
      <c r="L15" s="45">
        <f t="shared" si="6"/>
        <v>-278193.25025262666</v>
      </c>
      <c r="M15" s="45">
        <f t="shared" si="7"/>
        <v>-171422.32994409333</v>
      </c>
      <c r="O15" s="41" t="s">
        <v>122</v>
      </c>
    </row>
    <row r="16" spans="1:17" x14ac:dyDescent="0.25">
      <c r="A16" s="41">
        <v>12</v>
      </c>
      <c r="B16" s="45">
        <f>'Q1 Base'!B16</f>
        <v>143585.70845615998</v>
      </c>
      <c r="C16" s="45">
        <f t="shared" si="3"/>
        <v>50024.708198346212</v>
      </c>
      <c r="D16" s="45">
        <f t="shared" si="0"/>
        <v>84667.303787749086</v>
      </c>
      <c r="E16" s="45">
        <f t="shared" si="4"/>
        <v>-342006.19534477929</v>
      </c>
      <c r="F16" s="45">
        <f t="shared" si="5"/>
        <v>-201668.69495504018</v>
      </c>
      <c r="I16" s="45">
        <f>'Q1 Base'!C16</f>
        <v>125000</v>
      </c>
      <c r="J16" s="45">
        <f t="shared" si="1"/>
        <v>41441.494040358899</v>
      </c>
      <c r="K16" s="45">
        <f t="shared" si="2"/>
        <v>73707.983108221364</v>
      </c>
      <c r="L16" s="45">
        <f t="shared" si="6"/>
        <v>-165711.94651399483</v>
      </c>
      <c r="M16" s="45">
        <f t="shared" si="7"/>
        <v>-97714.346835871969</v>
      </c>
    </row>
    <row r="17" spans="1:17" x14ac:dyDescent="0.25">
      <c r="A17" s="41">
        <v>13</v>
      </c>
      <c r="B17" s="45">
        <f>'Q1 Base'!B17</f>
        <v>146457.42262528319</v>
      </c>
      <c r="C17" s="45">
        <f t="shared" si="3"/>
        <v>46733.055984914208</v>
      </c>
      <c r="D17" s="45">
        <f t="shared" si="0"/>
        <v>82641.770204310116</v>
      </c>
      <c r="E17" s="45">
        <f t="shared" si="4"/>
        <v>-210939.05151001114</v>
      </c>
      <c r="F17" s="45">
        <f t="shared" si="5"/>
        <v>-119026.92475073006</v>
      </c>
      <c r="I17" s="45">
        <f>'Q1 Base'!C17</f>
        <v>125000</v>
      </c>
      <c r="J17" s="45">
        <f t="shared" si="1"/>
        <v>37798.902198024582</v>
      </c>
      <c r="K17" s="45">
        <f t="shared" si="2"/>
        <v>70533.955127484543</v>
      </c>
      <c r="L17" s="45">
        <f t="shared" si="6"/>
        <v>-48168.98410712459</v>
      </c>
      <c r="M17" s="45">
        <f t="shared" si="7"/>
        <v>-27180.391708387426</v>
      </c>
      <c r="P17" s="41" t="s">
        <v>41</v>
      </c>
    </row>
    <row r="18" spans="1:17" x14ac:dyDescent="0.25">
      <c r="A18" s="41">
        <v>14</v>
      </c>
      <c r="B18" s="45">
        <f>'Q1 Base'!B18</f>
        <v>149386.57107778886</v>
      </c>
      <c r="C18" s="45">
        <f t="shared" si="3"/>
        <v>43657.996225179901</v>
      </c>
      <c r="D18" s="45">
        <f t="shared" si="0"/>
        <v>80664.694362101771</v>
      </c>
      <c r="E18" s="45">
        <f t="shared" si="4"/>
        <v>-71044.737750172761</v>
      </c>
      <c r="F18" s="45">
        <f t="shared" si="5"/>
        <v>-38362.23038862829</v>
      </c>
      <c r="I18" s="45">
        <f>'Q1 Base'!C18</f>
        <v>125000</v>
      </c>
      <c r="J18" s="45">
        <f t="shared" si="1"/>
        <v>34476.484027926082</v>
      </c>
      <c r="K18" s="45">
        <f t="shared" si="2"/>
        <v>67496.607777497193</v>
      </c>
      <c r="L18" s="45">
        <f t="shared" si="6"/>
        <v>74663.411608054797</v>
      </c>
      <c r="M18" s="45">
        <f t="shared" si="7"/>
        <v>40316.216069109767</v>
      </c>
      <c r="P18" s="41" t="s">
        <v>36</v>
      </c>
      <c r="Q18" s="41" t="s">
        <v>38</v>
      </c>
    </row>
    <row r="19" spans="1:17" x14ac:dyDescent="0.25">
      <c r="A19" s="41">
        <v>15</v>
      </c>
      <c r="B19" s="45">
        <f>'Q1 Base'!B19</f>
        <v>-97625.697500655369</v>
      </c>
      <c r="C19" s="45">
        <f t="shared" si="3"/>
        <v>-26130.988307437496</v>
      </c>
      <c r="D19" s="45">
        <f t="shared" si="0"/>
        <v>-50445.193593923999</v>
      </c>
      <c r="E19" s="45">
        <f t="shared" si="4"/>
        <v>-171867.44844958588</v>
      </c>
      <c r="F19" s="45">
        <f t="shared" si="5"/>
        <v>-88807.423982552282</v>
      </c>
      <c r="I19" s="45">
        <f>'Q1 Base'!C19</f>
        <v>125000</v>
      </c>
      <c r="J19" s="45">
        <f t="shared" si="1"/>
        <v>31446.097156492589</v>
      </c>
      <c r="K19" s="45">
        <f t="shared" si="2"/>
        <v>64590.055289470991</v>
      </c>
      <c r="L19" s="45">
        <f t="shared" si="6"/>
        <v>203023.26513041725</v>
      </c>
      <c r="M19" s="45">
        <f t="shared" si="7"/>
        <v>104906.27135858077</v>
      </c>
      <c r="O19" s="39" t="s">
        <v>97</v>
      </c>
      <c r="P19" s="41" t="s">
        <v>42</v>
      </c>
      <c r="Q19" s="41" t="s">
        <v>43</v>
      </c>
    </row>
    <row r="20" spans="1:17" x14ac:dyDescent="0.25">
      <c r="A20" s="41">
        <v>16</v>
      </c>
      <c r="B20" s="45">
        <f>'Q1 Base'!B20</f>
        <v>155421.78854933151</v>
      </c>
      <c r="C20" s="45">
        <f t="shared" si="3"/>
        <v>38101.584257933442</v>
      </c>
      <c r="D20" s="45">
        <f t="shared" si="0"/>
        <v>76851.306530830974</v>
      </c>
      <c r="E20" s="45">
        <f t="shared" si="4"/>
        <v>-24179.695080485719</v>
      </c>
      <c r="F20" s="45">
        <f t="shared" si="5"/>
        <v>-11956.117451721308</v>
      </c>
      <c r="I20" s="45">
        <f>'Q1 Base'!C20</f>
        <v>125000</v>
      </c>
      <c r="J20" s="45">
        <f t="shared" si="1"/>
        <v>28682.072846366627</v>
      </c>
      <c r="K20" s="45">
        <f t="shared" si="2"/>
        <v>61808.665348776092</v>
      </c>
      <c r="L20" s="45">
        <f t="shared" si="6"/>
        <v>337159.31206128601</v>
      </c>
      <c r="M20" s="45">
        <f t="shared" si="7"/>
        <v>166714.93670735686</v>
      </c>
    </row>
    <row r="21" spans="1:17" x14ac:dyDescent="0.25">
      <c r="A21" s="41">
        <v>17</v>
      </c>
      <c r="B21" s="45">
        <f>'Q1 Base'!B21</f>
        <v>158530.22432031814</v>
      </c>
      <c r="C21" s="45">
        <f t="shared" si="3"/>
        <v>35594.479895412856</v>
      </c>
      <c r="D21" s="45">
        <f t="shared" si="0"/>
        <v>75012.758527701051</v>
      </c>
      <c r="E21" s="45">
        <f t="shared" si="4"/>
        <v>133262.44296121056</v>
      </c>
      <c r="F21" s="45">
        <f t="shared" si="5"/>
        <v>63056.641075979744</v>
      </c>
      <c r="I21" s="45">
        <f>'Q1 Base'!C21</f>
        <v>125000</v>
      </c>
      <c r="J21" s="45">
        <f t="shared" si="1"/>
        <v>26160.998570674106</v>
      </c>
      <c r="K21" s="45">
        <f t="shared" si="2"/>
        <v>59147.048180646976</v>
      </c>
      <c r="L21" s="45">
        <f t="shared" si="6"/>
        <v>477331.48110404384</v>
      </c>
      <c r="M21" s="45">
        <f t="shared" si="7"/>
        <v>225861.98488800385</v>
      </c>
    </row>
    <row r="22" spans="1:17" x14ac:dyDescent="0.25">
      <c r="A22" s="41">
        <v>18</v>
      </c>
      <c r="B22" s="45">
        <f>'Q1 Base'!B22</f>
        <v>161700.82880672452</v>
      </c>
      <c r="C22" s="45">
        <f t="shared" si="3"/>
        <v>33252.344323744088</v>
      </c>
      <c r="D22" s="45">
        <f t="shared" si="0"/>
        <v>73218.194926559896</v>
      </c>
      <c r="E22" s="45">
        <f t="shared" si="4"/>
        <v>300960.08170118951</v>
      </c>
      <c r="F22" s="45">
        <f t="shared" si="5"/>
        <v>136274.83600253964</v>
      </c>
      <c r="I22" s="45">
        <f>'Q1 Base'!C22</f>
        <v>125000</v>
      </c>
      <c r="J22" s="45">
        <f t="shared" si="1"/>
        <v>23861.519698410168</v>
      </c>
      <c r="K22" s="45">
        <f t="shared" si="2"/>
        <v>56600.046105882284</v>
      </c>
      <c r="L22" s="45">
        <f t="shared" si="6"/>
        <v>623811.39775372576</v>
      </c>
      <c r="M22" s="45">
        <f t="shared" si="7"/>
        <v>282462.03099388612</v>
      </c>
    </row>
    <row r="23" spans="1:17" x14ac:dyDescent="0.25">
      <c r="A23" s="41">
        <v>19</v>
      </c>
      <c r="B23" s="45">
        <f>'Q1 Base'!B23</f>
        <v>164934.845382859</v>
      </c>
      <c r="C23" s="45">
        <f t="shared" si="3"/>
        <v>31064.322509382473</v>
      </c>
      <c r="D23" s="45">
        <f t="shared" si="0"/>
        <v>71466.563468986686</v>
      </c>
      <c r="E23" s="45">
        <f t="shared" si="4"/>
        <v>479438.13076060201</v>
      </c>
      <c r="F23" s="45">
        <f t="shared" si="5"/>
        <v>207741.39947152633</v>
      </c>
      <c r="I23" s="45">
        <f>'Q1 Base'!C23</f>
        <v>125000</v>
      </c>
      <c r="J23" s="45">
        <f t="shared" si="1"/>
        <v>21764.158611126939</v>
      </c>
      <c r="K23" s="45">
        <f t="shared" si="2"/>
        <v>54162.723546298839</v>
      </c>
      <c r="L23" s="45">
        <f t="shared" si="6"/>
        <v>776882.91065264342</v>
      </c>
      <c r="M23" s="45">
        <f t="shared" si="7"/>
        <v>336624.75454018498</v>
      </c>
    </row>
    <row r="24" spans="1:17" x14ac:dyDescent="0.25">
      <c r="A24" s="41">
        <v>20</v>
      </c>
      <c r="B24" s="45">
        <f>'Q1 Base'!B24</f>
        <v>-81766.457709483831</v>
      </c>
      <c r="C24" s="45">
        <f t="shared" si="3"/>
        <v>-14104.707947857449</v>
      </c>
      <c r="D24" s="45">
        <f t="shared" si="0"/>
        <v>-33903.877850939018</v>
      </c>
      <c r="E24" s="45">
        <f t="shared" si="4"/>
        <v>419246.38893534523</v>
      </c>
      <c r="F24" s="45">
        <f t="shared" si="5"/>
        <v>173837.5216205873</v>
      </c>
      <c r="I24" s="45">
        <f>'Q1 Base'!C24</f>
        <v>125000</v>
      </c>
      <c r="J24" s="45">
        <f t="shared" si="1"/>
        <v>19851.149718760411</v>
      </c>
      <c r="K24" s="45">
        <f t="shared" si="2"/>
        <v>51830.357460573068</v>
      </c>
      <c r="L24" s="45">
        <f t="shared" si="6"/>
        <v>936842.64163201232</v>
      </c>
      <c r="M24" s="45">
        <f t="shared" si="7"/>
        <v>388455.11200075806</v>
      </c>
    </row>
    <row r="25" spans="1:17" x14ac:dyDescent="0.25">
      <c r="A25" s="41">
        <v>21</v>
      </c>
      <c r="B25" s="45">
        <f>'Q1 Base'!B25</f>
        <v>171598.21313632649</v>
      </c>
      <c r="C25" s="45">
        <f t="shared" si="3"/>
        <v>27110.724353954876</v>
      </c>
      <c r="D25" s="45">
        <f t="shared" si="0"/>
        <v>68088.013216852865</v>
      </c>
      <c r="E25" s="45">
        <f t="shared" si="4"/>
        <v>609710.68957376224</v>
      </c>
      <c r="F25" s="45">
        <f t="shared" si="5"/>
        <v>241925.53483744018</v>
      </c>
      <c r="I25" s="45">
        <f>'Q1 Base'!C25</f>
        <v>125000</v>
      </c>
      <c r="J25" s="45">
        <f t="shared" si="1"/>
        <v>18106.288977106327</v>
      </c>
      <c r="K25" s="45">
        <f t="shared" si="2"/>
        <v>49598.428191935942</v>
      </c>
      <c r="L25" s="45">
        <f t="shared" si="6"/>
        <v>1104000.5605054528</v>
      </c>
      <c r="M25" s="45">
        <f t="shared" si="7"/>
        <v>438053.540192694</v>
      </c>
    </row>
    <row r="26" spans="1:17" x14ac:dyDescent="0.25">
      <c r="A26" s="41">
        <v>22</v>
      </c>
      <c r="B26" s="45">
        <f>'Q1 Base'!B26</f>
        <v>175030.17739905303</v>
      </c>
      <c r="C26" s="45">
        <f t="shared" si="3"/>
        <v>25326.824376495515</v>
      </c>
      <c r="D26" s="45">
        <f t="shared" si="0"/>
        <v>66459.11337912915</v>
      </c>
      <c r="E26" s="45">
        <f t="shared" si="4"/>
        <v>812177.84800363448</v>
      </c>
      <c r="F26" s="45">
        <f t="shared" si="5"/>
        <v>308384.64821656933</v>
      </c>
      <c r="I26" s="45">
        <f>'Q1 Base'!C26</f>
        <v>125000</v>
      </c>
      <c r="J26" s="45">
        <f t="shared" si="1"/>
        <v>16514.796632290661</v>
      </c>
      <c r="K26" s="45">
        <f t="shared" si="2"/>
        <v>47462.610709986569</v>
      </c>
      <c r="L26" s="45">
        <f t="shared" si="6"/>
        <v>1278680.5857281981</v>
      </c>
      <c r="M26" s="45">
        <f t="shared" si="7"/>
        <v>485516.15090268059</v>
      </c>
    </row>
    <row r="27" spans="1:17" x14ac:dyDescent="0.25">
      <c r="A27" s="41">
        <v>23</v>
      </c>
      <c r="B27" s="45">
        <f>'Q1 Base'!B27</f>
        <v>178530.7809470341</v>
      </c>
      <c r="C27" s="45">
        <f t="shared" si="3"/>
        <v>23660.305959485511</v>
      </c>
      <c r="D27" s="45">
        <f t="shared" si="0"/>
        <v>64869.182437044714</v>
      </c>
      <c r="E27" s="45">
        <f t="shared" si="4"/>
        <v>1027256.6321108321</v>
      </c>
      <c r="F27" s="45">
        <f t="shared" si="5"/>
        <v>373253.83065361402</v>
      </c>
      <c r="I27" s="45">
        <f>'Q1 Base'!C27</f>
        <v>0</v>
      </c>
      <c r="J27" s="45">
        <f t="shared" si="1"/>
        <v>0</v>
      </c>
      <c r="K27" s="45">
        <f t="shared" si="2"/>
        <v>0</v>
      </c>
      <c r="L27" s="45">
        <f t="shared" si="6"/>
        <v>1336221.212085967</v>
      </c>
      <c r="M27" s="45">
        <f t="shared" si="7"/>
        <v>485516.15090268059</v>
      </c>
    </row>
    <row r="28" spans="1:17" x14ac:dyDescent="0.25">
      <c r="A28" s="41">
        <v>24</v>
      </c>
      <c r="B28" s="45">
        <f>'Q1 Base'!B28</f>
        <v>182101.39656597478</v>
      </c>
      <c r="C28" s="45">
        <f t="shared" si="3"/>
        <v>22103.445334267635</v>
      </c>
      <c r="D28" s="45">
        <f t="shared" si="0"/>
        <v>63317.288120369019</v>
      </c>
      <c r="E28" s="45">
        <f t="shared" si="4"/>
        <v>1255584.5771217942</v>
      </c>
      <c r="F28" s="45">
        <f t="shared" si="5"/>
        <v>436571.11877398303</v>
      </c>
      <c r="I28" s="45">
        <f>'Q1 Base'!C28</f>
        <v>0</v>
      </c>
      <c r="J28" s="45">
        <f t="shared" si="1"/>
        <v>0</v>
      </c>
      <c r="K28" s="45">
        <f t="shared" si="2"/>
        <v>0</v>
      </c>
      <c r="L28" s="45">
        <f t="shared" si="6"/>
        <v>1396351.1666298353</v>
      </c>
      <c r="M28" s="45">
        <f t="shared" si="7"/>
        <v>485516.15090268059</v>
      </c>
    </row>
    <row r="29" spans="1:17" x14ac:dyDescent="0.25">
      <c r="A29" s="41">
        <v>25</v>
      </c>
      <c r="B29" s="45">
        <f>'Q1 Base'!B29</f>
        <v>185743.42449729427</v>
      </c>
      <c r="C29" s="45">
        <f t="shared" si="3"/>
        <v>20649.026960240601</v>
      </c>
      <c r="D29" s="45">
        <f t="shared" si="0"/>
        <v>61802.520461986984</v>
      </c>
      <c r="E29" s="45">
        <f t="shared" si="4"/>
        <v>1497829.3075895691</v>
      </c>
      <c r="F29" s="45">
        <f t="shared" si="5"/>
        <v>498373.63923597004</v>
      </c>
      <c r="I29" s="45">
        <f>'Q1 Base'!C29</f>
        <v>0</v>
      </c>
      <c r="J29" s="45">
        <f t="shared" si="1"/>
        <v>0</v>
      </c>
      <c r="K29" s="45">
        <f t="shared" si="2"/>
        <v>0</v>
      </c>
      <c r="L29" s="45">
        <f t="shared" si="6"/>
        <v>1459186.9691281777</v>
      </c>
      <c r="M29" s="45">
        <f t="shared" si="7"/>
        <v>485516.15090268059</v>
      </c>
    </row>
    <row r="31" spans="1:17" x14ac:dyDescent="0.25">
      <c r="C31" s="46">
        <f>SUM(C5:C29)</f>
        <v>1.4156426914269105E-5</v>
      </c>
      <c r="D31" s="46">
        <f>SUM(D5:D29)</f>
        <v>498373.63923597004</v>
      </c>
      <c r="J31" s="46">
        <f>SUM(J5:J29)</f>
        <v>6.5301719587296247E-9</v>
      </c>
      <c r="K31" s="46">
        <f>SUM(K5:K29)</f>
        <v>485516.15090268059</v>
      </c>
    </row>
    <row r="32" spans="1:17" x14ac:dyDescent="0.25">
      <c r="H32" s="46">
        <f>D31-K31</f>
        <v>12857.488333289453</v>
      </c>
    </row>
  </sheetData>
  <mergeCells count="2">
    <mergeCell ref="E1:F1"/>
    <mergeCell ref="L1:M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4F6C-D2B6-4FEC-99A8-7A98F844EE26}">
  <dimension ref="B4:O24"/>
  <sheetViews>
    <sheetView workbookViewId="0">
      <selection activeCell="D17" sqref="D17:D21"/>
    </sheetView>
  </sheetViews>
  <sheetFormatPr defaultRowHeight="15" x14ac:dyDescent="0.25"/>
  <cols>
    <col min="13" max="13" width="9.140625" style="21"/>
  </cols>
  <sheetData>
    <row r="4" spans="2:15" x14ac:dyDescent="0.25">
      <c r="B4" t="s">
        <v>41</v>
      </c>
    </row>
    <row r="5" spans="2:15" x14ac:dyDescent="0.25">
      <c r="B5" t="s">
        <v>36</v>
      </c>
      <c r="C5" t="s">
        <v>38</v>
      </c>
    </row>
    <row r="6" spans="2:15" x14ac:dyDescent="0.25">
      <c r="B6" t="s">
        <v>42</v>
      </c>
      <c r="C6" t="s">
        <v>43</v>
      </c>
      <c r="D6" t="s">
        <v>44</v>
      </c>
      <c r="O6" s="22" t="s">
        <v>97</v>
      </c>
    </row>
    <row r="7" spans="2:15" x14ac:dyDescent="0.25">
      <c r="O7" s="21"/>
    </row>
    <row r="8" spans="2:15" x14ac:dyDescent="0.25">
      <c r="B8" t="s">
        <v>40</v>
      </c>
      <c r="O8" s="21"/>
    </row>
    <row r="9" spans="2:15" x14ac:dyDescent="0.25">
      <c r="B9" t="s">
        <v>45</v>
      </c>
      <c r="C9" t="s">
        <v>46</v>
      </c>
      <c r="O9" s="21"/>
    </row>
    <row r="10" spans="2:15" x14ac:dyDescent="0.25">
      <c r="B10" s="12">
        <f>'Q1 (i) (ii) (iii)'!P11</f>
        <v>498373.63923597004</v>
      </c>
      <c r="C10" s="12">
        <f>'Q1 (i) (ii) (iii)'!Q11</f>
        <v>485516.15090268059</v>
      </c>
      <c r="D10" t="s">
        <v>47</v>
      </c>
      <c r="O10" s="22" t="s">
        <v>97</v>
      </c>
    </row>
    <row r="11" spans="2:15" x14ac:dyDescent="0.25">
      <c r="O11" s="21"/>
    </row>
    <row r="12" spans="2:15" x14ac:dyDescent="0.25">
      <c r="B12" t="s">
        <v>37</v>
      </c>
      <c r="O12" s="21"/>
    </row>
    <row r="13" spans="2:15" x14ac:dyDescent="0.25">
      <c r="B13" t="s">
        <v>45</v>
      </c>
      <c r="C13" t="s">
        <v>46</v>
      </c>
      <c r="O13" s="21"/>
    </row>
    <row r="14" spans="2:15" x14ac:dyDescent="0.25">
      <c r="B14" s="11">
        <f>'Q1 (i) (ii) (iii)'!P7</f>
        <v>9.1843905495597664E-2</v>
      </c>
      <c r="C14" s="11">
        <f>'Q1 (i) (ii) (iii)'!Q7</f>
        <v>9.6367662300115314E-2</v>
      </c>
      <c r="D14" t="s">
        <v>48</v>
      </c>
      <c r="O14" s="22" t="s">
        <v>97</v>
      </c>
    </row>
    <row r="15" spans="2:15" x14ac:dyDescent="0.25">
      <c r="D15" t="s">
        <v>49</v>
      </c>
      <c r="O15" s="21"/>
    </row>
    <row r="16" spans="2:15" x14ac:dyDescent="0.25">
      <c r="O16" s="21"/>
    </row>
    <row r="17" spans="4:15" x14ac:dyDescent="0.25">
      <c r="D17" t="s">
        <v>50</v>
      </c>
      <c r="O17" s="22" t="s">
        <v>96</v>
      </c>
    </row>
    <row r="18" spans="4:15" x14ac:dyDescent="0.25">
      <c r="O18" s="21"/>
    </row>
    <row r="19" spans="4:15" x14ac:dyDescent="0.25">
      <c r="D19" t="s">
        <v>51</v>
      </c>
      <c r="O19" s="22" t="s">
        <v>97</v>
      </c>
    </row>
    <row r="20" spans="4:15" x14ac:dyDescent="0.25">
      <c r="D20" t="s">
        <v>52</v>
      </c>
      <c r="O20" s="21"/>
    </row>
    <row r="21" spans="4:15" x14ac:dyDescent="0.25">
      <c r="D21" t="s">
        <v>53</v>
      </c>
      <c r="O21" s="22" t="s">
        <v>96</v>
      </c>
    </row>
    <row r="22" spans="4:15" x14ac:dyDescent="0.25">
      <c r="O22" s="21"/>
    </row>
    <row r="23" spans="4:15" x14ac:dyDescent="0.25">
      <c r="O23" s="22" t="s">
        <v>123</v>
      </c>
    </row>
    <row r="24" spans="4:15" x14ac:dyDescent="0.25">
      <c r="O24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70AB-5BF3-4E96-AD58-D97A93BC9914}">
  <dimension ref="A1:D25"/>
  <sheetViews>
    <sheetView workbookViewId="0">
      <selection activeCell="C2" sqref="C2"/>
    </sheetView>
  </sheetViews>
  <sheetFormatPr defaultRowHeight="15" x14ac:dyDescent="0.25"/>
  <cols>
    <col min="1" max="2" width="9.140625" style="23"/>
    <col min="3" max="3" width="9" bestFit="1" customWidth="1"/>
    <col min="4" max="4" width="10.7109375" customWidth="1"/>
  </cols>
  <sheetData>
    <row r="1" spans="1:4" x14ac:dyDescent="0.25">
      <c r="C1" t="s">
        <v>36</v>
      </c>
      <c r="D1" t="s">
        <v>38</v>
      </c>
    </row>
    <row r="2" spans="1:4" x14ac:dyDescent="0.25">
      <c r="A2" s="23" t="s">
        <v>100</v>
      </c>
      <c r="B2" s="23" t="s">
        <v>37</v>
      </c>
      <c r="C2" s="6">
        <f>'Q1 (i) (ii) (iii)'!C3</f>
        <v>9.1843905495597664E-2</v>
      </c>
      <c r="D2" s="24">
        <f>'Q1 (i) (ii) (iii)'!J3</f>
        <v>9.6367662300115314E-2</v>
      </c>
    </row>
    <row r="4" spans="1:4" x14ac:dyDescent="0.25">
      <c r="A4" s="23" t="s">
        <v>101</v>
      </c>
      <c r="B4" s="23" t="s">
        <v>40</v>
      </c>
      <c r="C4" s="12">
        <f>'Q1 (i) (ii) (iii)'!D31</f>
        <v>498373.63923597004</v>
      </c>
      <c r="D4" s="12">
        <f>'Q1 (i) (ii) (iii)'!K31</f>
        <v>485516.15090268059</v>
      </c>
    </row>
    <row r="6" spans="1:4" x14ac:dyDescent="0.25">
      <c r="A6" s="23" t="s">
        <v>130</v>
      </c>
      <c r="B6" s="23" t="s">
        <v>132</v>
      </c>
      <c r="C6" t="str">
        <f>'Q1 (i) (ii) (iii)'!P19</f>
        <v>17 years</v>
      </c>
      <c r="D6" t="str">
        <f>'Q1 (i) (ii) (iii)'!Q19</f>
        <v>14 years</v>
      </c>
    </row>
    <row r="8" spans="1:4" x14ac:dyDescent="0.25">
      <c r="A8" s="23" t="s">
        <v>131</v>
      </c>
      <c r="B8" t="s">
        <v>41</v>
      </c>
    </row>
    <row r="9" spans="1:4" x14ac:dyDescent="0.25">
      <c r="B9" t="s">
        <v>36</v>
      </c>
      <c r="C9" t="s">
        <v>38</v>
      </c>
    </row>
    <row r="10" spans="1:4" x14ac:dyDescent="0.25">
      <c r="B10" t="s">
        <v>42</v>
      </c>
      <c r="C10" t="s">
        <v>43</v>
      </c>
      <c r="D10" t="s">
        <v>44</v>
      </c>
    </row>
    <row r="11" spans="1:4" x14ac:dyDescent="0.25">
      <c r="B11"/>
    </row>
    <row r="12" spans="1:4" x14ac:dyDescent="0.25">
      <c r="B12" t="s">
        <v>40</v>
      </c>
    </row>
    <row r="13" spans="1:4" x14ac:dyDescent="0.25">
      <c r="B13" t="s">
        <v>45</v>
      </c>
      <c r="C13" t="s">
        <v>46</v>
      </c>
    </row>
    <row r="14" spans="1:4" x14ac:dyDescent="0.25">
      <c r="B14" s="12">
        <v>498373.63923597004</v>
      </c>
      <c r="C14" s="12">
        <v>485516.15090268059</v>
      </c>
      <c r="D14" t="s">
        <v>47</v>
      </c>
    </row>
    <row r="15" spans="1:4" x14ac:dyDescent="0.25">
      <c r="B15"/>
    </row>
    <row r="16" spans="1:4" x14ac:dyDescent="0.25">
      <c r="B16" t="s">
        <v>37</v>
      </c>
    </row>
    <row r="17" spans="2:4" x14ac:dyDescent="0.25">
      <c r="B17" t="s">
        <v>45</v>
      </c>
      <c r="C17" t="s">
        <v>46</v>
      </c>
    </row>
    <row r="18" spans="2:4" x14ac:dyDescent="0.25">
      <c r="B18" s="11">
        <v>9.1843905495597664E-2</v>
      </c>
      <c r="C18" s="11">
        <v>9.6367662300115314E-2</v>
      </c>
      <c r="D18" t="s">
        <v>48</v>
      </c>
    </row>
    <row r="19" spans="2:4" x14ac:dyDescent="0.25">
      <c r="B19"/>
      <c r="D19" t="s">
        <v>49</v>
      </c>
    </row>
    <row r="20" spans="2:4" x14ac:dyDescent="0.25">
      <c r="B20"/>
    </row>
    <row r="21" spans="2:4" x14ac:dyDescent="0.25">
      <c r="B21"/>
      <c r="D21" t="s">
        <v>50</v>
      </c>
    </row>
    <row r="22" spans="2:4" x14ac:dyDescent="0.25">
      <c r="B22"/>
    </row>
    <row r="23" spans="2:4" x14ac:dyDescent="0.25">
      <c r="B23"/>
      <c r="D23" t="s">
        <v>51</v>
      </c>
    </row>
    <row r="24" spans="2:4" x14ac:dyDescent="0.25">
      <c r="B24"/>
      <c r="D24" t="s">
        <v>52</v>
      </c>
    </row>
    <row r="25" spans="2:4" x14ac:dyDescent="0.25">
      <c r="B25"/>
      <c r="D25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B1215-6F53-4EF2-A810-8901963CE749}">
  <dimension ref="B1:F26"/>
  <sheetViews>
    <sheetView workbookViewId="0">
      <selection activeCell="B5" sqref="B5:B24"/>
    </sheetView>
  </sheetViews>
  <sheetFormatPr defaultRowHeight="15" x14ac:dyDescent="0.25"/>
  <cols>
    <col min="6" max="6" width="11.42578125" customWidth="1"/>
  </cols>
  <sheetData>
    <row r="1" spans="2:5" s="26" customFormat="1" ht="16.5" customHeight="1" x14ac:dyDescent="0.25">
      <c r="C1" s="25" t="s">
        <v>96</v>
      </c>
      <c r="D1" s="25" t="s">
        <v>96</v>
      </c>
      <c r="E1" s="25" t="s">
        <v>96</v>
      </c>
    </row>
    <row r="2" spans="2:5" x14ac:dyDescent="0.25">
      <c r="B2" t="s">
        <v>32</v>
      </c>
      <c r="C2" s="7">
        <v>0.03</v>
      </c>
    </row>
    <row r="4" spans="2:5" s="20" customFormat="1" ht="18" x14ac:dyDescent="0.35">
      <c r="B4" s="32" t="s">
        <v>33</v>
      </c>
      <c r="C4" s="32" t="s">
        <v>102</v>
      </c>
      <c r="D4" s="32" t="s">
        <v>156</v>
      </c>
      <c r="E4" s="32" t="s">
        <v>103</v>
      </c>
    </row>
    <row r="5" spans="2:5" x14ac:dyDescent="0.25">
      <c r="B5" s="33">
        <v>1</v>
      </c>
      <c r="C5" s="29">
        <f>EXP(-$C$2)</f>
        <v>0.97044553354850815</v>
      </c>
      <c r="D5" s="29">
        <f>C5</f>
        <v>0.97044553354850815</v>
      </c>
      <c r="E5" s="29">
        <f>1-C5</f>
        <v>2.9554466451491845E-2</v>
      </c>
    </row>
    <row r="6" spans="2:5" x14ac:dyDescent="0.25">
      <c r="B6" s="33">
        <v>2</v>
      </c>
      <c r="C6" s="29">
        <f t="shared" ref="C6:C24" si="0">EXP(-$C$2)</f>
        <v>0.97044553354850815</v>
      </c>
      <c r="D6" s="29">
        <f>C6*D5</f>
        <v>0.94176453358424872</v>
      </c>
      <c r="E6" s="29">
        <f t="shared" ref="E6:E24" si="1">1-C6</f>
        <v>2.9554466451491845E-2</v>
      </c>
    </row>
    <row r="7" spans="2:5" x14ac:dyDescent="0.25">
      <c r="B7" s="33">
        <v>3</v>
      </c>
      <c r="C7" s="29">
        <f t="shared" si="0"/>
        <v>0.97044553354850815</v>
      </c>
      <c r="D7" s="29">
        <f t="shared" ref="D7:D24" si="2">C7*D6</f>
        <v>0.91393118527122819</v>
      </c>
      <c r="E7" s="29">
        <f t="shared" si="1"/>
        <v>2.9554466451491845E-2</v>
      </c>
    </row>
    <row r="8" spans="2:5" x14ac:dyDescent="0.25">
      <c r="B8" s="33">
        <v>4</v>
      </c>
      <c r="C8" s="29">
        <f t="shared" si="0"/>
        <v>0.97044553354850815</v>
      </c>
      <c r="D8" s="29">
        <f>C8*D7</f>
        <v>0.88692043671715748</v>
      </c>
      <c r="E8" s="29">
        <f>1-C8</f>
        <v>2.9554466451491845E-2</v>
      </c>
    </row>
    <row r="9" spans="2:5" x14ac:dyDescent="0.25">
      <c r="B9" s="33">
        <v>5</v>
      </c>
      <c r="C9" s="29">
        <f t="shared" si="0"/>
        <v>0.97044553354850815</v>
      </c>
      <c r="D9" s="29">
        <f t="shared" si="2"/>
        <v>0.8607079764250577</v>
      </c>
      <c r="E9" s="29">
        <f t="shared" si="1"/>
        <v>2.9554466451491845E-2</v>
      </c>
    </row>
    <row r="10" spans="2:5" x14ac:dyDescent="0.25">
      <c r="B10" s="33">
        <v>6</v>
      </c>
      <c r="C10" s="29">
        <f t="shared" si="0"/>
        <v>0.97044553354850815</v>
      </c>
      <c r="D10" s="29">
        <f t="shared" si="2"/>
        <v>0.83527021141127189</v>
      </c>
      <c r="E10" s="29">
        <f t="shared" si="1"/>
        <v>2.9554466451491845E-2</v>
      </c>
    </row>
    <row r="11" spans="2:5" x14ac:dyDescent="0.25">
      <c r="B11" s="33">
        <v>7</v>
      </c>
      <c r="C11" s="29">
        <f t="shared" si="0"/>
        <v>0.97044553354850815</v>
      </c>
      <c r="D11" s="29">
        <f t="shared" si="2"/>
        <v>0.81058424597018697</v>
      </c>
      <c r="E11" s="29">
        <f t="shared" si="1"/>
        <v>2.9554466451491845E-2</v>
      </c>
    </row>
    <row r="12" spans="2:5" x14ac:dyDescent="0.25">
      <c r="B12" s="33">
        <v>8</v>
      </c>
      <c r="C12" s="29">
        <f t="shared" si="0"/>
        <v>0.97044553354850815</v>
      </c>
      <c r="D12" s="29">
        <f t="shared" si="2"/>
        <v>0.78662786106655325</v>
      </c>
      <c r="E12" s="29">
        <f t="shared" si="1"/>
        <v>2.9554466451491845E-2</v>
      </c>
    </row>
    <row r="13" spans="2:5" x14ac:dyDescent="0.25">
      <c r="B13" s="33">
        <v>9</v>
      </c>
      <c r="C13" s="29">
        <f t="shared" si="0"/>
        <v>0.97044553354850815</v>
      </c>
      <c r="D13" s="29">
        <f t="shared" si="2"/>
        <v>0.76337949433685304</v>
      </c>
      <c r="E13" s="29">
        <f t="shared" si="1"/>
        <v>2.9554466451491845E-2</v>
      </c>
    </row>
    <row r="14" spans="2:5" x14ac:dyDescent="0.25">
      <c r="B14" s="33">
        <v>10</v>
      </c>
      <c r="C14" s="29">
        <f t="shared" si="0"/>
        <v>0.97044553354850815</v>
      </c>
      <c r="D14" s="29">
        <f t="shared" si="2"/>
        <v>0.74081822068171765</v>
      </c>
      <c r="E14" s="29">
        <f t="shared" si="1"/>
        <v>2.9554466451491845E-2</v>
      </c>
    </row>
    <row r="15" spans="2:5" x14ac:dyDescent="0.25">
      <c r="B15" s="33">
        <v>11</v>
      </c>
      <c r="C15" s="29">
        <f t="shared" si="0"/>
        <v>0.97044553354850815</v>
      </c>
      <c r="D15" s="29">
        <f t="shared" si="2"/>
        <v>0.71892373343192595</v>
      </c>
      <c r="E15" s="29">
        <f t="shared" si="1"/>
        <v>2.9554466451491845E-2</v>
      </c>
    </row>
    <row r="16" spans="2:5" x14ac:dyDescent="0.25">
      <c r="B16" s="33">
        <v>12</v>
      </c>
      <c r="C16" s="29">
        <f t="shared" si="0"/>
        <v>0.97044553354850815</v>
      </c>
      <c r="D16" s="29">
        <f t="shared" si="2"/>
        <v>0.69767632607103081</v>
      </c>
      <c r="E16" s="29">
        <f t="shared" si="1"/>
        <v>2.9554466451491845E-2</v>
      </c>
    </row>
    <row r="17" spans="2:6" x14ac:dyDescent="0.25">
      <c r="B17" s="33">
        <v>13</v>
      </c>
      <c r="C17" s="29">
        <f t="shared" si="0"/>
        <v>0.97044553354850815</v>
      </c>
      <c r="D17" s="29">
        <f t="shared" si="2"/>
        <v>0.67705687449816443</v>
      </c>
      <c r="E17" s="29">
        <f t="shared" si="1"/>
        <v>2.9554466451491845E-2</v>
      </c>
    </row>
    <row r="18" spans="2:6" x14ac:dyDescent="0.25">
      <c r="B18" s="33">
        <v>14</v>
      </c>
      <c r="C18" s="29">
        <f t="shared" si="0"/>
        <v>0.97044553354850815</v>
      </c>
      <c r="D18" s="29">
        <f t="shared" si="2"/>
        <v>0.65704681981505653</v>
      </c>
      <c r="E18" s="29">
        <f t="shared" si="1"/>
        <v>2.9554466451491845E-2</v>
      </c>
    </row>
    <row r="19" spans="2:6" x14ac:dyDescent="0.25">
      <c r="B19" s="33">
        <v>15</v>
      </c>
      <c r="C19" s="29">
        <f t="shared" si="0"/>
        <v>0.97044553354850815</v>
      </c>
      <c r="D19" s="29">
        <f t="shared" si="2"/>
        <v>0.637628151621773</v>
      </c>
      <c r="E19" s="29">
        <f t="shared" si="1"/>
        <v>2.9554466451491845E-2</v>
      </c>
    </row>
    <row r="20" spans="2:6" x14ac:dyDescent="0.25">
      <c r="B20" s="33">
        <v>16</v>
      </c>
      <c r="C20" s="29">
        <f t="shared" si="0"/>
        <v>0.97044553354850815</v>
      </c>
      <c r="D20" s="29">
        <f t="shared" si="2"/>
        <v>0.6187833918061405</v>
      </c>
      <c r="E20" s="29">
        <f t="shared" si="1"/>
        <v>2.9554466451491845E-2</v>
      </c>
    </row>
    <row r="21" spans="2:6" x14ac:dyDescent="0.25">
      <c r="B21" s="33">
        <v>17</v>
      </c>
      <c r="C21" s="29">
        <f t="shared" si="0"/>
        <v>0.97044553354850815</v>
      </c>
      <c r="D21" s="29">
        <f t="shared" si="2"/>
        <v>0.60049557881226556</v>
      </c>
      <c r="E21" s="29">
        <f t="shared" si="1"/>
        <v>2.9554466451491845E-2</v>
      </c>
    </row>
    <row r="22" spans="2:6" x14ac:dyDescent="0.25">
      <c r="B22" s="33">
        <v>18</v>
      </c>
      <c r="C22" s="29">
        <f t="shared" si="0"/>
        <v>0.97044553354850815</v>
      </c>
      <c r="D22" s="29">
        <f t="shared" si="2"/>
        <v>0.58274825237398931</v>
      </c>
      <c r="E22" s="29">
        <f t="shared" si="1"/>
        <v>2.9554466451491845E-2</v>
      </c>
    </row>
    <row r="23" spans="2:6" x14ac:dyDescent="0.25">
      <c r="B23" s="33">
        <v>19</v>
      </c>
      <c r="C23" s="29">
        <f t="shared" si="0"/>
        <v>0.97044553354850815</v>
      </c>
      <c r="D23" s="29">
        <f t="shared" si="2"/>
        <v>0.56552543869953675</v>
      </c>
      <c r="E23" s="29">
        <f t="shared" si="1"/>
        <v>2.9554466451491845E-2</v>
      </c>
    </row>
    <row r="24" spans="2:6" x14ac:dyDescent="0.25">
      <c r="B24" s="33">
        <v>20</v>
      </c>
      <c r="C24" s="29">
        <f t="shared" si="0"/>
        <v>0.97044553354850815</v>
      </c>
      <c r="D24" s="29">
        <f t="shared" si="2"/>
        <v>0.54881163609402606</v>
      </c>
      <c r="E24" s="29">
        <f t="shared" si="1"/>
        <v>2.9554466451491845E-2</v>
      </c>
    </row>
    <row r="26" spans="2:6" x14ac:dyDescent="0.25">
      <c r="F26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0C0E7-49D6-4F97-8B35-C445E16F259B}">
  <dimension ref="B1:O28"/>
  <sheetViews>
    <sheetView workbookViewId="0">
      <selection sqref="A1:XFD1048576"/>
    </sheetView>
  </sheetViews>
  <sheetFormatPr defaultRowHeight="15" x14ac:dyDescent="0.25"/>
  <cols>
    <col min="1" max="5" width="9.140625" style="41"/>
    <col min="6" max="6" width="12.42578125" style="41" bestFit="1" customWidth="1"/>
    <col min="7" max="7" width="9.140625" style="41"/>
    <col min="8" max="8" width="11" style="41" customWidth="1"/>
    <col min="9" max="9" width="15.28515625" style="41" customWidth="1"/>
    <col min="10" max="10" width="12" style="41" customWidth="1"/>
    <col min="11" max="11" width="12.140625" style="41" customWidth="1"/>
    <col min="12" max="12" width="9.140625" style="41"/>
    <col min="13" max="13" width="14.28515625" style="41" bestFit="1" customWidth="1"/>
    <col min="14" max="14" width="11.42578125" style="41" customWidth="1"/>
    <col min="15" max="16384" width="9.140625" style="41"/>
  </cols>
  <sheetData>
    <row r="1" spans="2:13" s="47" customFormat="1" ht="16.5" customHeight="1" x14ac:dyDescent="0.25">
      <c r="C1" s="48"/>
      <c r="D1" s="48"/>
      <c r="E1" s="48"/>
      <c r="F1" s="48" t="s">
        <v>96</v>
      </c>
      <c r="G1" s="48" t="s">
        <v>96</v>
      </c>
      <c r="H1" s="48" t="s">
        <v>97</v>
      </c>
      <c r="I1" s="48" t="s">
        <v>96</v>
      </c>
      <c r="J1" s="48" t="s">
        <v>97</v>
      </c>
      <c r="K1" s="48"/>
      <c r="L1" s="48"/>
      <c r="M1" s="48" t="s">
        <v>93</v>
      </c>
    </row>
    <row r="2" spans="2:13" x14ac:dyDescent="0.25">
      <c r="B2" s="41" t="s">
        <v>32</v>
      </c>
      <c r="C2" s="49">
        <v>0.03</v>
      </c>
      <c r="G2" s="50">
        <v>0.05</v>
      </c>
      <c r="H2" s="41" t="s">
        <v>2</v>
      </c>
      <c r="I2" s="50"/>
      <c r="J2" s="50"/>
      <c r="K2" s="50"/>
    </row>
    <row r="4" spans="2:13" s="51" customFormat="1" ht="31.5" x14ac:dyDescent="0.35">
      <c r="B4" s="44" t="s">
        <v>33</v>
      </c>
      <c r="C4" s="44" t="s">
        <v>102</v>
      </c>
      <c r="D4" s="44" t="s">
        <v>156</v>
      </c>
      <c r="E4" s="44" t="s">
        <v>103</v>
      </c>
      <c r="F4" s="44" t="s">
        <v>34</v>
      </c>
      <c r="G4" s="44" t="s">
        <v>95</v>
      </c>
      <c r="H4" s="44" t="s">
        <v>174</v>
      </c>
      <c r="I4" s="44" t="s">
        <v>171</v>
      </c>
      <c r="J4" s="44" t="s">
        <v>172</v>
      </c>
      <c r="K4" s="44" t="s">
        <v>173</v>
      </c>
      <c r="L4" s="44"/>
      <c r="M4" s="44" t="s">
        <v>104</v>
      </c>
    </row>
    <row r="5" spans="2:13" x14ac:dyDescent="0.25">
      <c r="B5" s="41">
        <v>1</v>
      </c>
      <c r="C5" s="41">
        <f>'Q2 (i)'!C5</f>
        <v>0.97044553354850815</v>
      </c>
      <c r="D5" s="41">
        <f>'Q2 (i)'!D5</f>
        <v>0.97044553354850815</v>
      </c>
      <c r="E5" s="41">
        <f>'Q2 (i)'!E5</f>
        <v>2.9554466451491845E-2</v>
      </c>
      <c r="F5" s="52">
        <v>10000</v>
      </c>
      <c r="G5" s="41">
        <f>(1+$G$2)^-B5</f>
        <v>0.95238095238095233</v>
      </c>
      <c r="H5" s="41">
        <f>E5</f>
        <v>2.9554466451491845E-2</v>
      </c>
      <c r="I5" s="53">
        <f>F5*G5*H5</f>
        <v>281.47110906182706</v>
      </c>
      <c r="K5" s="53">
        <f>I5+J5</f>
        <v>281.47110906182706</v>
      </c>
      <c r="M5" s="53">
        <f>E5*(F5^2)*(G5^2)</f>
        <v>2680677.2291602576</v>
      </c>
    </row>
    <row r="6" spans="2:13" x14ac:dyDescent="0.25">
      <c r="B6" s="41">
        <v>2</v>
      </c>
      <c r="C6" s="41">
        <f>'Q2 (i)'!C6</f>
        <v>0.97044553354850815</v>
      </c>
      <c r="D6" s="41">
        <f>'Q2 (i)'!D6</f>
        <v>0.94176453358424872</v>
      </c>
      <c r="E6" s="41">
        <f>'Q2 (i)'!E6</f>
        <v>2.9554466451491845E-2</v>
      </c>
      <c r="F6" s="45">
        <f>F5</f>
        <v>10000</v>
      </c>
      <c r="G6" s="41">
        <f t="shared" ref="G6:G24" si="0">(1+$G$2)^-B6</f>
        <v>0.90702947845804982</v>
      </c>
      <c r="H6" s="41">
        <f>E6*D5</f>
        <v>2.8680999964259487E-2</v>
      </c>
      <c r="I6" s="53">
        <f t="shared" ref="I6:I24" si="1">F6*G6*H6</f>
        <v>260.14512439237626</v>
      </c>
      <c r="K6" s="53">
        <f t="shared" ref="K6:K24" si="2">I6+J6</f>
        <v>260.14512439237626</v>
      </c>
      <c r="M6" s="53">
        <f>D5*E6*(F6^2)*(G6^2)</f>
        <v>2359592.9650102155</v>
      </c>
    </row>
    <row r="7" spans="2:13" x14ac:dyDescent="0.25">
      <c r="B7" s="41">
        <v>3</v>
      </c>
      <c r="C7" s="41">
        <f>'Q2 (i)'!C7</f>
        <v>0.97044553354850815</v>
      </c>
      <c r="D7" s="41">
        <f>'Q2 (i)'!D7</f>
        <v>0.91393118527122819</v>
      </c>
      <c r="E7" s="41">
        <f>'Q2 (i)'!E7</f>
        <v>2.9554466451491845E-2</v>
      </c>
      <c r="F7" s="45">
        <f t="shared" ref="F7:F14" si="3">F6</f>
        <v>10000</v>
      </c>
      <c r="G7" s="41">
        <f t="shared" si="0"/>
        <v>0.86383759853147601</v>
      </c>
      <c r="H7" s="41">
        <f t="shared" ref="H7:H24" si="4">E7*D6</f>
        <v>2.7833348313020544E-2</v>
      </c>
      <c r="I7" s="53">
        <f t="shared" si="1"/>
        <v>240.43492765809776</v>
      </c>
      <c r="K7" s="53">
        <f t="shared" si="2"/>
        <v>240.43492765809776</v>
      </c>
      <c r="M7" s="53">
        <f t="shared" ref="M7:M23" si="5">D6*E7*(F7^2)*(G7^2)</f>
        <v>2076967.3051126031</v>
      </c>
    </row>
    <row r="8" spans="2:13" x14ac:dyDescent="0.25">
      <c r="B8" s="41">
        <v>4</v>
      </c>
      <c r="C8" s="41">
        <f>'Q2 (i)'!C8</f>
        <v>0.97044553354850815</v>
      </c>
      <c r="D8" s="41">
        <f>'Q2 (i)'!D8</f>
        <v>0.88692043671715748</v>
      </c>
      <c r="E8" s="41">
        <f>'Q2 (i)'!E8</f>
        <v>2.9554466451491845E-2</v>
      </c>
      <c r="F8" s="45">
        <f t="shared" si="3"/>
        <v>10000</v>
      </c>
      <c r="G8" s="41">
        <f t="shared" si="0"/>
        <v>0.82270247479188197</v>
      </c>
      <c r="H8" s="41">
        <f t="shared" si="4"/>
        <v>2.7010748554070693E-2</v>
      </c>
      <c r="I8" s="53">
        <f t="shared" si="1"/>
        <v>222.21809681415209</v>
      </c>
      <c r="K8" s="53">
        <f t="shared" si="2"/>
        <v>222.21809681415209</v>
      </c>
      <c r="M8" s="53">
        <f t="shared" si="5"/>
        <v>1828193.7819254494</v>
      </c>
    </row>
    <row r="9" spans="2:13" x14ac:dyDescent="0.25">
      <c r="B9" s="41">
        <v>5</v>
      </c>
      <c r="C9" s="41">
        <f>'Q2 (i)'!C9</f>
        <v>0.97044553354850815</v>
      </c>
      <c r="D9" s="41">
        <f>'Q2 (i)'!D9</f>
        <v>0.8607079764250577</v>
      </c>
      <c r="E9" s="41">
        <f>'Q2 (i)'!E9</f>
        <v>2.9554466451491845E-2</v>
      </c>
      <c r="F9" s="45">
        <f t="shared" si="3"/>
        <v>10000</v>
      </c>
      <c r="G9" s="41">
        <f t="shared" si="0"/>
        <v>0.78352616646845896</v>
      </c>
      <c r="H9" s="41">
        <f t="shared" si="4"/>
        <v>2.6212460292099726E-2</v>
      </c>
      <c r="I9" s="53">
        <f t="shared" si="1"/>
        <v>205.38148526375602</v>
      </c>
      <c r="K9" s="53">
        <f t="shared" si="2"/>
        <v>205.38148526375602</v>
      </c>
      <c r="M9" s="53">
        <f t="shared" si="5"/>
        <v>1609217.6781230906</v>
      </c>
    </row>
    <row r="10" spans="2:13" x14ac:dyDescent="0.25">
      <c r="B10" s="41">
        <v>6</v>
      </c>
      <c r="C10" s="41">
        <f>'Q2 (i)'!C10</f>
        <v>0.97044553354850815</v>
      </c>
      <c r="D10" s="41">
        <f>'Q2 (i)'!D10</f>
        <v>0.83527021141127189</v>
      </c>
      <c r="E10" s="41">
        <f>'Q2 (i)'!E10</f>
        <v>2.9554466451491845E-2</v>
      </c>
      <c r="F10" s="45">
        <f t="shared" si="3"/>
        <v>10000</v>
      </c>
      <c r="G10" s="41">
        <f t="shared" si="0"/>
        <v>0.74621539663662761</v>
      </c>
      <c r="H10" s="41">
        <f t="shared" si="4"/>
        <v>2.5437765013785803E-2</v>
      </c>
      <c r="I10" s="53">
        <f t="shared" si="1"/>
        <v>189.82051909311502</v>
      </c>
      <c r="K10" s="53">
        <f t="shared" si="2"/>
        <v>189.82051909311502</v>
      </c>
      <c r="M10" s="53">
        <f t="shared" si="5"/>
        <v>1416469.9394483939</v>
      </c>
    </row>
    <row r="11" spans="2:13" x14ac:dyDescent="0.25">
      <c r="B11" s="41">
        <v>7</v>
      </c>
      <c r="C11" s="41">
        <f>'Q2 (i)'!C11</f>
        <v>0.97044553354850815</v>
      </c>
      <c r="D11" s="41">
        <f>'Q2 (i)'!D11</f>
        <v>0.81058424597018697</v>
      </c>
      <c r="E11" s="41">
        <f>'Q2 (i)'!E11</f>
        <v>2.9554466451491845E-2</v>
      </c>
      <c r="F11" s="45">
        <f t="shared" si="3"/>
        <v>10000</v>
      </c>
      <c r="G11" s="41">
        <f t="shared" si="0"/>
        <v>0.71068133013012147</v>
      </c>
      <c r="H11" s="41">
        <f t="shared" si="4"/>
        <v>2.4685965441084937E-2</v>
      </c>
      <c r="I11" s="53">
        <f t="shared" si="1"/>
        <v>175.43854755216455</v>
      </c>
      <c r="K11" s="53">
        <f t="shared" si="2"/>
        <v>175.43854755216455</v>
      </c>
      <c r="M11" s="53">
        <f t="shared" si="5"/>
        <v>1246809.0033046885</v>
      </c>
    </row>
    <row r="12" spans="2:13" x14ac:dyDescent="0.25">
      <c r="B12" s="41">
        <v>8</v>
      </c>
      <c r="C12" s="41">
        <f>'Q2 (i)'!C12</f>
        <v>0.97044553354850815</v>
      </c>
      <c r="D12" s="41">
        <f>'Q2 (i)'!D12</f>
        <v>0.78662786106655325</v>
      </c>
      <c r="E12" s="41">
        <f>'Q2 (i)'!E12</f>
        <v>2.9554466451491845E-2</v>
      </c>
      <c r="F12" s="45">
        <f t="shared" si="3"/>
        <v>10000</v>
      </c>
      <c r="G12" s="41">
        <f t="shared" si="0"/>
        <v>0.67683936202868722</v>
      </c>
      <c r="H12" s="41">
        <f t="shared" si="4"/>
        <v>2.3956384903633703E-2</v>
      </c>
      <c r="I12" s="53">
        <f t="shared" si="1"/>
        <v>162.14624274689109</v>
      </c>
      <c r="K12" s="53">
        <f t="shared" si="2"/>
        <v>162.14624274689109</v>
      </c>
      <c r="M12" s="53">
        <f t="shared" si="5"/>
        <v>1097469.594961544</v>
      </c>
    </row>
    <row r="13" spans="2:13" x14ac:dyDescent="0.25">
      <c r="B13" s="41">
        <v>9</v>
      </c>
      <c r="C13" s="41">
        <f>'Q2 (i)'!C13</f>
        <v>0.97044553354850815</v>
      </c>
      <c r="D13" s="41">
        <f>'Q2 (i)'!D13</f>
        <v>0.76337949433685304</v>
      </c>
      <c r="E13" s="41">
        <f>'Q2 (i)'!E13</f>
        <v>2.9554466451491845E-2</v>
      </c>
      <c r="F13" s="45">
        <f t="shared" si="3"/>
        <v>10000</v>
      </c>
      <c r="G13" s="41">
        <f t="shared" si="0"/>
        <v>0.64460891621779726</v>
      </c>
      <c r="H13" s="41">
        <f t="shared" si="4"/>
        <v>2.3248366729700237E-2</v>
      </c>
      <c r="I13" s="53">
        <f t="shared" si="1"/>
        <v>149.86104481465966</v>
      </c>
      <c r="K13" s="53">
        <f t="shared" si="2"/>
        <v>149.86104481465966</v>
      </c>
      <c r="M13" s="53">
        <f t="shared" si="5"/>
        <v>966017.65681244514</v>
      </c>
    </row>
    <row r="14" spans="2:13" x14ac:dyDescent="0.25">
      <c r="B14" s="41">
        <v>10</v>
      </c>
      <c r="C14" s="41">
        <f>'Q2 (i)'!C14</f>
        <v>0.97044553354850815</v>
      </c>
      <c r="D14" s="41">
        <f>'Q2 (i)'!D14</f>
        <v>0.74081822068171765</v>
      </c>
      <c r="E14" s="41">
        <f>'Q2 (i)'!E14</f>
        <v>2.9554466451491845E-2</v>
      </c>
      <c r="F14" s="45">
        <f t="shared" si="3"/>
        <v>10000</v>
      </c>
      <c r="G14" s="41">
        <f t="shared" si="0"/>
        <v>0.61391325354075932</v>
      </c>
      <c r="H14" s="41">
        <f t="shared" si="4"/>
        <v>2.2561273655135331E-2</v>
      </c>
      <c r="I14" s="53">
        <f t="shared" si="1"/>
        <v>138.50664913647552</v>
      </c>
      <c r="K14" s="53">
        <f t="shared" si="2"/>
        <v>138.50664913647552</v>
      </c>
      <c r="M14" s="53">
        <f t="shared" si="5"/>
        <v>850310.67608402064</v>
      </c>
    </row>
    <row r="15" spans="2:13" x14ac:dyDescent="0.25">
      <c r="B15" s="41">
        <v>11</v>
      </c>
      <c r="C15" s="41">
        <f>'Q2 (i)'!C15</f>
        <v>0.97044553354850815</v>
      </c>
      <c r="D15" s="41">
        <f>'Q2 (i)'!D15</f>
        <v>0.71892373343192595</v>
      </c>
      <c r="E15" s="41">
        <f>'Q2 (i)'!E15</f>
        <v>2.9554466451491845E-2</v>
      </c>
      <c r="F15" s="52">
        <v>20000</v>
      </c>
      <c r="G15" s="41">
        <f t="shared" si="0"/>
        <v>0.5846792890864374</v>
      </c>
      <c r="H15" s="41">
        <f t="shared" si="4"/>
        <v>2.1894487249791705E-2</v>
      </c>
      <c r="I15" s="53">
        <f t="shared" si="1"/>
        <v>256.02506480240567</v>
      </c>
      <c r="K15" s="53">
        <f t="shared" si="2"/>
        <v>256.02506480240567</v>
      </c>
      <c r="M15" s="53">
        <f t="shared" si="5"/>
        <v>2993851.057539592</v>
      </c>
    </row>
    <row r="16" spans="2:13" x14ac:dyDescent="0.25">
      <c r="B16" s="41">
        <v>12</v>
      </c>
      <c r="C16" s="41">
        <f>'Q2 (i)'!C16</f>
        <v>0.97044553354850815</v>
      </c>
      <c r="D16" s="41">
        <f>'Q2 (i)'!D16</f>
        <v>0.69767632607103081</v>
      </c>
      <c r="E16" s="41">
        <f>'Q2 (i)'!E16</f>
        <v>2.9554466451491845E-2</v>
      </c>
      <c r="F16" s="45">
        <f>F15</f>
        <v>20000</v>
      </c>
      <c r="G16" s="41">
        <f t="shared" si="0"/>
        <v>0.5568374181775595</v>
      </c>
      <c r="H16" s="41">
        <f t="shared" si="4"/>
        <v>2.1247407360895122E-2</v>
      </c>
      <c r="I16" s="53">
        <f t="shared" si="1"/>
        <v>236.62702915615426</v>
      </c>
      <c r="K16" s="53">
        <f t="shared" si="2"/>
        <v>236.62702915615426</v>
      </c>
      <c r="M16" s="53">
        <f t="shared" si="5"/>
        <v>2635255.6797267804</v>
      </c>
    </row>
    <row r="17" spans="2:15" x14ac:dyDescent="0.25">
      <c r="B17" s="41">
        <v>13</v>
      </c>
      <c r="C17" s="41">
        <f>'Q2 (i)'!C17</f>
        <v>0.97044553354850815</v>
      </c>
      <c r="D17" s="41">
        <f>'Q2 (i)'!D17</f>
        <v>0.67705687449816443</v>
      </c>
      <c r="E17" s="41">
        <f>'Q2 (i)'!E17</f>
        <v>2.9554466451491845E-2</v>
      </c>
      <c r="F17" s="45">
        <f t="shared" ref="F17:F24" si="6">F16</f>
        <v>20000</v>
      </c>
      <c r="G17" s="41">
        <f t="shared" si="0"/>
        <v>0.53032135064529462</v>
      </c>
      <c r="H17" s="41">
        <f t="shared" si="4"/>
        <v>2.0619451572866366E-2</v>
      </c>
      <c r="I17" s="53">
        <f t="shared" si="1"/>
        <v>218.69870815375472</v>
      </c>
      <c r="K17" s="53">
        <f t="shared" si="2"/>
        <v>218.69870815375472</v>
      </c>
      <c r="M17" s="53">
        <f t="shared" si="5"/>
        <v>2319611.8858496062</v>
      </c>
    </row>
    <row r="18" spans="2:15" x14ac:dyDescent="0.25">
      <c r="B18" s="41">
        <v>14</v>
      </c>
      <c r="C18" s="41">
        <f>'Q2 (i)'!C18</f>
        <v>0.97044553354850815</v>
      </c>
      <c r="D18" s="41">
        <f>'Q2 (i)'!D18</f>
        <v>0.65704681981505653</v>
      </c>
      <c r="E18" s="41">
        <f>'Q2 (i)'!E18</f>
        <v>2.9554466451491845E-2</v>
      </c>
      <c r="F18" s="45">
        <f t="shared" si="6"/>
        <v>20000</v>
      </c>
      <c r="G18" s="41">
        <f t="shared" si="0"/>
        <v>0.50506795299551888</v>
      </c>
      <c r="H18" s="41">
        <f t="shared" si="4"/>
        <v>2.0010054683107924E-2</v>
      </c>
      <c r="I18" s="53">
        <f t="shared" si="1"/>
        <v>202.12874716251429</v>
      </c>
      <c r="K18" s="53">
        <f t="shared" si="2"/>
        <v>202.12874716251429</v>
      </c>
      <c r="M18" s="53">
        <f t="shared" si="5"/>
        <v>2041775.0514183978</v>
      </c>
    </row>
    <row r="19" spans="2:15" x14ac:dyDescent="0.25">
      <c r="B19" s="41">
        <v>15</v>
      </c>
      <c r="C19" s="41">
        <f>'Q2 (i)'!C19</f>
        <v>0.97044553354850815</v>
      </c>
      <c r="D19" s="41">
        <f>'Q2 (i)'!D19</f>
        <v>0.637628151621773</v>
      </c>
      <c r="E19" s="41">
        <f>'Q2 (i)'!E19</f>
        <v>2.9554466451491845E-2</v>
      </c>
      <c r="F19" s="45">
        <f t="shared" si="6"/>
        <v>20000</v>
      </c>
      <c r="G19" s="41">
        <f t="shared" si="0"/>
        <v>0.48101709809097021</v>
      </c>
      <c r="H19" s="41">
        <f t="shared" si="4"/>
        <v>1.9418668193283497E-2</v>
      </c>
      <c r="I19" s="53">
        <f t="shared" si="1"/>
        <v>186.81422846249302</v>
      </c>
      <c r="K19" s="53">
        <f t="shared" si="2"/>
        <v>186.81422846249302</v>
      </c>
      <c r="M19" s="53">
        <f t="shared" si="5"/>
        <v>1797216.7611426385</v>
      </c>
    </row>
    <row r="20" spans="2:15" x14ac:dyDescent="0.25">
      <c r="B20" s="41">
        <v>16</v>
      </c>
      <c r="C20" s="41">
        <f>'Q2 (i)'!C20</f>
        <v>0.97044553354850815</v>
      </c>
      <c r="D20" s="41">
        <f>'Q2 (i)'!D20</f>
        <v>0.6187833918061405</v>
      </c>
      <c r="E20" s="41">
        <f>'Q2 (i)'!E20</f>
        <v>2.9554466451491845E-2</v>
      </c>
      <c r="F20" s="45">
        <f t="shared" si="6"/>
        <v>20000</v>
      </c>
      <c r="G20" s="41">
        <f t="shared" si="0"/>
        <v>0.45811152199140021</v>
      </c>
      <c r="H20" s="41">
        <f t="shared" si="4"/>
        <v>1.8844759815632446E-2</v>
      </c>
      <c r="I20" s="53">
        <f t="shared" si="1"/>
        <v>172.66003201403518</v>
      </c>
      <c r="K20" s="53">
        <f t="shared" si="2"/>
        <v>172.66003201403518</v>
      </c>
      <c r="M20" s="53">
        <f t="shared" si="5"/>
        <v>1581951.0010606707</v>
      </c>
    </row>
    <row r="21" spans="2:15" x14ac:dyDescent="0.25">
      <c r="B21" s="41">
        <v>17</v>
      </c>
      <c r="C21" s="41">
        <f>'Q2 (i)'!C21</f>
        <v>0.97044553354850815</v>
      </c>
      <c r="D21" s="41">
        <f>'Q2 (i)'!D21</f>
        <v>0.60049557881226556</v>
      </c>
      <c r="E21" s="41">
        <f>'Q2 (i)'!E21</f>
        <v>2.9554466451491845E-2</v>
      </c>
      <c r="F21" s="45">
        <f t="shared" si="6"/>
        <v>20000</v>
      </c>
      <c r="G21" s="41">
        <f t="shared" si="0"/>
        <v>0.43629668761085727</v>
      </c>
      <c r="H21" s="41">
        <f t="shared" si="4"/>
        <v>1.8287812993874913E-2</v>
      </c>
      <c r="I21" s="53">
        <f t="shared" si="1"/>
        <v>159.57824465748837</v>
      </c>
      <c r="K21" s="53">
        <f t="shared" si="2"/>
        <v>159.57824465748837</v>
      </c>
      <c r="M21" s="53">
        <f t="shared" si="5"/>
        <v>1392469.1911763435</v>
      </c>
    </row>
    <row r="22" spans="2:15" x14ac:dyDescent="0.25">
      <c r="B22" s="41">
        <v>18</v>
      </c>
      <c r="C22" s="41">
        <f>'Q2 (i)'!C22</f>
        <v>0.97044553354850815</v>
      </c>
      <c r="D22" s="41">
        <f>'Q2 (i)'!D22</f>
        <v>0.58274825237398931</v>
      </c>
      <c r="E22" s="41">
        <f>'Q2 (i)'!E22</f>
        <v>2.9554466451491845E-2</v>
      </c>
      <c r="F22" s="45">
        <f t="shared" si="6"/>
        <v>20000</v>
      </c>
      <c r="G22" s="41">
        <f t="shared" si="0"/>
        <v>0.41552065486748313</v>
      </c>
      <c r="H22" s="41">
        <f t="shared" si="4"/>
        <v>1.7747326438276281E-2</v>
      </c>
      <c r="I22" s="53">
        <f t="shared" si="1"/>
        <v>147.48761407559115</v>
      </c>
      <c r="K22" s="53">
        <f t="shared" si="2"/>
        <v>147.48761407559115</v>
      </c>
      <c r="M22" s="53">
        <f t="shared" si="5"/>
        <v>1225682.9997106451</v>
      </c>
    </row>
    <row r="23" spans="2:15" x14ac:dyDescent="0.25">
      <c r="B23" s="41">
        <v>19</v>
      </c>
      <c r="C23" s="41">
        <f>'Q2 (i)'!C23</f>
        <v>0.97044553354850815</v>
      </c>
      <c r="D23" s="41">
        <f>'Q2 (i)'!D23</f>
        <v>0.56552543869953675</v>
      </c>
      <c r="E23" s="41">
        <f>'Q2 (i)'!E23</f>
        <v>2.9554466451491845E-2</v>
      </c>
      <c r="F23" s="45">
        <f t="shared" si="6"/>
        <v>20000</v>
      </c>
      <c r="G23" s="41">
        <f t="shared" si="0"/>
        <v>0.39573395701665059</v>
      </c>
      <c r="H23" s="41">
        <f t="shared" si="4"/>
        <v>1.722281367445257E-2</v>
      </c>
      <c r="I23" s="53">
        <f t="shared" si="1"/>
        <v>136.3130441270319</v>
      </c>
      <c r="K23" s="53">
        <f t="shared" si="2"/>
        <v>136.3130441270319</v>
      </c>
      <c r="M23" s="53">
        <f t="shared" si="5"/>
        <v>1078874.0069075129</v>
      </c>
    </row>
    <row r="24" spans="2:15" x14ac:dyDescent="0.25">
      <c r="B24" s="41">
        <v>20</v>
      </c>
      <c r="C24" s="41">
        <f>'Q2 (i)'!C24</f>
        <v>0.97044553354850815</v>
      </c>
      <c r="D24" s="41">
        <f>'Q2 (i)'!D24</f>
        <v>0.54881163609402606</v>
      </c>
      <c r="E24" s="41">
        <f>'Q2 (i)'!E24</f>
        <v>2.9554466451491845E-2</v>
      </c>
      <c r="F24" s="45">
        <f t="shared" si="6"/>
        <v>20000</v>
      </c>
      <c r="G24" s="41">
        <f t="shared" si="0"/>
        <v>0.37688948287300061</v>
      </c>
      <c r="H24" s="41">
        <f t="shared" si="4"/>
        <v>1.6713802605510666E-2</v>
      </c>
      <c r="I24" s="53">
        <f t="shared" si="1"/>
        <v>125.9851284166465</v>
      </c>
      <c r="J24" s="53">
        <f>F24*G24*D24</f>
        <v>4136.8266744432576</v>
      </c>
      <c r="K24" s="53">
        <f t="shared" si="2"/>
        <v>4262.8118028599038</v>
      </c>
      <c r="M24" s="53">
        <f>D23*E24*(F24^2)*(G24^2)+D24*(F24^2)*(G24^2)</f>
        <v>32132178.719295856</v>
      </c>
    </row>
    <row r="26" spans="2:15" x14ac:dyDescent="0.25">
      <c r="K26" s="53">
        <f>SUM(I5:I24,J24)</f>
        <v>8004.5682620048865</v>
      </c>
      <c r="L26" s="48" t="s">
        <v>96</v>
      </c>
      <c r="M26" s="53">
        <f>SUM(M5:M24)</f>
        <v>65330592.183770746</v>
      </c>
      <c r="N26" s="48"/>
    </row>
    <row r="28" spans="2:15" x14ac:dyDescent="0.25">
      <c r="L28" s="41" t="s">
        <v>35</v>
      </c>
      <c r="M28" s="53">
        <f>M26-K26^2</f>
        <v>1257479.1226748154</v>
      </c>
      <c r="N28" s="41" t="str">
        <f>_xlfn.CONCAT(ROUND(SQRT(M28),4),"^2")</f>
        <v>1121.3738^2</v>
      </c>
      <c r="O28" s="39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0DA6E-3C39-4C5F-88FC-7B7C75F6634E}">
  <dimension ref="A1:B5"/>
  <sheetViews>
    <sheetView workbookViewId="0">
      <selection activeCell="B2" sqref="B2"/>
    </sheetView>
  </sheetViews>
  <sheetFormatPr defaultRowHeight="15" x14ac:dyDescent="0.25"/>
  <cols>
    <col min="1" max="1" width="9.140625" style="23"/>
    <col min="2" max="2" width="11.5703125" bestFit="1" customWidth="1"/>
  </cols>
  <sheetData>
    <row r="1" spans="1:2" x14ac:dyDescent="0.25">
      <c r="A1" s="23" t="s">
        <v>100</v>
      </c>
      <c r="B1" t="s">
        <v>163</v>
      </c>
    </row>
    <row r="3" spans="1:2" x14ac:dyDescent="0.25">
      <c r="A3" s="23" t="s">
        <v>101</v>
      </c>
      <c r="B3" s="9">
        <f>'Q2 (ii) and (iii)'!K26</f>
        <v>8004.5682620048865</v>
      </c>
    </row>
    <row r="5" spans="1:2" x14ac:dyDescent="0.25">
      <c r="A5" s="23" t="s">
        <v>130</v>
      </c>
      <c r="B5" s="12">
        <f>'Q2 (ii) and (iii)'!M28</f>
        <v>1257479.1226748154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BD13-FCDC-46EF-99E9-6D1D0D55CBCB}">
  <dimension ref="A1:N96"/>
  <sheetViews>
    <sheetView workbookViewId="0">
      <selection activeCell="I18" sqref="I18"/>
    </sheetView>
  </sheetViews>
  <sheetFormatPr defaultRowHeight="15" x14ac:dyDescent="0.25"/>
  <cols>
    <col min="7" max="7" width="10.42578125" customWidth="1"/>
  </cols>
  <sheetData>
    <row r="1" spans="1:14" x14ac:dyDescent="0.25">
      <c r="A1" s="20" t="s">
        <v>0</v>
      </c>
    </row>
    <row r="2" spans="1:14" x14ac:dyDescent="0.25">
      <c r="E2" s="1" t="s">
        <v>1</v>
      </c>
      <c r="F2" s="11">
        <v>5.5E-2</v>
      </c>
      <c r="G2" t="s">
        <v>2</v>
      </c>
    </row>
    <row r="4" spans="1:14" x14ac:dyDescent="0.25">
      <c r="A4" s="20" t="s">
        <v>3</v>
      </c>
    </row>
    <row r="5" spans="1:14" x14ac:dyDescent="0.25">
      <c r="B5" s="20"/>
      <c r="F5" s="1" t="s">
        <v>164</v>
      </c>
      <c r="G5" s="11">
        <v>3.5000000000000003E-2</v>
      </c>
      <c r="H5" t="s">
        <v>2</v>
      </c>
    </row>
    <row r="6" spans="1:14" x14ac:dyDescent="0.25">
      <c r="B6" s="20"/>
      <c r="F6" s="1" t="s">
        <v>5</v>
      </c>
      <c r="G6" s="1" t="s">
        <v>6</v>
      </c>
    </row>
    <row r="7" spans="1:14" x14ac:dyDescent="0.25">
      <c r="B7" s="20"/>
      <c r="F7" s="1" t="s">
        <v>10</v>
      </c>
      <c r="G7" s="1" t="s">
        <v>6</v>
      </c>
    </row>
    <row r="8" spans="1:14" x14ac:dyDescent="0.25">
      <c r="B8" s="20"/>
    </row>
    <row r="9" spans="1:14" x14ac:dyDescent="0.25">
      <c r="B9" s="20"/>
      <c r="F9" s="1" t="s">
        <v>11</v>
      </c>
      <c r="G9" s="3" t="s">
        <v>12</v>
      </c>
      <c r="H9" t="s">
        <v>13</v>
      </c>
    </row>
    <row r="10" spans="1:14" x14ac:dyDescent="0.25">
      <c r="B10" s="20"/>
    </row>
    <row r="11" spans="1:14" x14ac:dyDescent="0.25">
      <c r="B11" t="s">
        <v>125</v>
      </c>
    </row>
    <row r="12" spans="1:14" x14ac:dyDescent="0.25">
      <c r="B12" t="s">
        <v>124</v>
      </c>
    </row>
    <row r="13" spans="1:14" x14ac:dyDescent="0.25">
      <c r="B13" s="20"/>
    </row>
    <row r="14" spans="1:14" x14ac:dyDescent="0.25">
      <c r="B14" t="s">
        <v>4</v>
      </c>
    </row>
    <row r="15" spans="1:14" x14ac:dyDescent="0.25">
      <c r="B15" s="23" t="s">
        <v>7</v>
      </c>
      <c r="C15" s="23" t="s">
        <v>8</v>
      </c>
      <c r="D15" s="23" t="s">
        <v>9</v>
      </c>
      <c r="N15" s="2"/>
    </row>
    <row r="16" spans="1:14" x14ac:dyDescent="0.25">
      <c r="B16" s="23">
        <v>20</v>
      </c>
      <c r="C16">
        <v>100000</v>
      </c>
      <c r="D16">
        <v>47.2</v>
      </c>
    </row>
    <row r="17" spans="2:4" x14ac:dyDescent="0.25">
      <c r="B17" s="23">
        <v>21</v>
      </c>
      <c r="C17">
        <v>99952.8</v>
      </c>
      <c r="D17">
        <v>46.9</v>
      </c>
    </row>
    <row r="18" spans="2:4" x14ac:dyDescent="0.25">
      <c r="B18" s="23">
        <v>22</v>
      </c>
      <c r="C18">
        <v>99905.900000000009</v>
      </c>
      <c r="D18">
        <v>47.4</v>
      </c>
    </row>
    <row r="19" spans="2:4" x14ac:dyDescent="0.25">
      <c r="B19" s="23">
        <v>23</v>
      </c>
      <c r="C19">
        <v>99858.500000000015</v>
      </c>
      <c r="D19">
        <v>49.9</v>
      </c>
    </row>
    <row r="20" spans="2:4" x14ac:dyDescent="0.25">
      <c r="B20" s="23">
        <v>24</v>
      </c>
      <c r="C20">
        <v>99808.60000000002</v>
      </c>
      <c r="D20">
        <v>51.7</v>
      </c>
    </row>
    <row r="21" spans="2:4" x14ac:dyDescent="0.25">
      <c r="B21" s="23">
        <v>25</v>
      </c>
      <c r="C21">
        <v>99756.900000000023</v>
      </c>
      <c r="D21">
        <v>57.3</v>
      </c>
    </row>
    <row r="22" spans="2:4" x14ac:dyDescent="0.25">
      <c r="B22" s="23">
        <v>26</v>
      </c>
      <c r="C22">
        <v>99699.60000000002</v>
      </c>
      <c r="D22">
        <v>52.9</v>
      </c>
    </row>
    <row r="23" spans="2:4" x14ac:dyDescent="0.25">
      <c r="B23" s="23">
        <v>27</v>
      </c>
      <c r="C23">
        <v>99646.700000000026</v>
      </c>
      <c r="D23">
        <v>55.1</v>
      </c>
    </row>
    <row r="24" spans="2:4" x14ac:dyDescent="0.25">
      <c r="B24" s="23">
        <v>28</v>
      </c>
      <c r="C24">
        <v>99591.60000000002</v>
      </c>
      <c r="D24">
        <v>62.3</v>
      </c>
    </row>
    <row r="25" spans="2:4" x14ac:dyDescent="0.25">
      <c r="B25" s="23">
        <v>29</v>
      </c>
      <c r="C25">
        <v>99529.300000000017</v>
      </c>
      <c r="D25">
        <v>61.1</v>
      </c>
    </row>
    <row r="26" spans="2:4" x14ac:dyDescent="0.25">
      <c r="B26" s="23">
        <v>30</v>
      </c>
      <c r="C26">
        <v>99468.200000000012</v>
      </c>
      <c r="D26">
        <v>65.2</v>
      </c>
    </row>
    <row r="27" spans="2:4" x14ac:dyDescent="0.25">
      <c r="B27" s="23">
        <v>31</v>
      </c>
      <c r="C27">
        <v>99403.000000000015</v>
      </c>
      <c r="D27">
        <v>69.599999999999994</v>
      </c>
    </row>
    <row r="28" spans="2:4" x14ac:dyDescent="0.25">
      <c r="B28" s="23">
        <v>32</v>
      </c>
      <c r="C28">
        <v>99333.400000000009</v>
      </c>
      <c r="D28">
        <v>83.3</v>
      </c>
    </row>
    <row r="29" spans="2:4" x14ac:dyDescent="0.25">
      <c r="B29" s="23">
        <v>33</v>
      </c>
      <c r="C29">
        <v>99250.1</v>
      </c>
      <c r="D29">
        <v>81.900000000000006</v>
      </c>
    </row>
    <row r="30" spans="2:4" x14ac:dyDescent="0.25">
      <c r="B30" s="23">
        <v>34</v>
      </c>
      <c r="C30">
        <v>99168.200000000012</v>
      </c>
      <c r="D30">
        <v>88.6</v>
      </c>
    </row>
    <row r="31" spans="2:4" x14ac:dyDescent="0.25">
      <c r="B31" s="23">
        <v>35</v>
      </c>
      <c r="C31">
        <v>99079.6</v>
      </c>
      <c r="D31">
        <v>94.3</v>
      </c>
    </row>
    <row r="32" spans="2:4" x14ac:dyDescent="0.25">
      <c r="B32" s="23">
        <v>36</v>
      </c>
      <c r="C32">
        <v>98985.3</v>
      </c>
      <c r="D32">
        <v>108.4</v>
      </c>
    </row>
    <row r="33" spans="2:4" x14ac:dyDescent="0.25">
      <c r="B33" s="23">
        <v>37</v>
      </c>
      <c r="C33">
        <v>98876.900000000009</v>
      </c>
      <c r="D33">
        <v>107.8</v>
      </c>
    </row>
    <row r="34" spans="2:4" x14ac:dyDescent="0.25">
      <c r="B34" s="23">
        <v>38</v>
      </c>
      <c r="C34">
        <v>98769.1</v>
      </c>
      <c r="D34">
        <v>114.1</v>
      </c>
    </row>
    <row r="35" spans="2:4" x14ac:dyDescent="0.25">
      <c r="B35" s="23">
        <v>39</v>
      </c>
      <c r="C35">
        <v>98655</v>
      </c>
      <c r="D35">
        <v>126.1</v>
      </c>
    </row>
    <row r="36" spans="2:4" x14ac:dyDescent="0.25">
      <c r="B36" s="23">
        <v>40</v>
      </c>
      <c r="C36">
        <v>98528.9</v>
      </c>
      <c r="D36">
        <v>138.30000000000001</v>
      </c>
    </row>
    <row r="37" spans="2:4" x14ac:dyDescent="0.25">
      <c r="B37" s="23">
        <v>41</v>
      </c>
      <c r="C37">
        <v>98390.599999999991</v>
      </c>
      <c r="D37">
        <v>156.6</v>
      </c>
    </row>
    <row r="38" spans="2:4" x14ac:dyDescent="0.25">
      <c r="B38" s="23">
        <v>42</v>
      </c>
      <c r="C38">
        <v>98233.999999999985</v>
      </c>
      <c r="D38">
        <v>164.5</v>
      </c>
    </row>
    <row r="39" spans="2:4" x14ac:dyDescent="0.25">
      <c r="B39" s="23">
        <v>43</v>
      </c>
      <c r="C39">
        <v>98069.499999999985</v>
      </c>
      <c r="D39">
        <v>182.9</v>
      </c>
    </row>
    <row r="40" spans="2:4" x14ac:dyDescent="0.25">
      <c r="B40" s="23">
        <v>44</v>
      </c>
      <c r="C40">
        <v>97886.599999999991</v>
      </c>
      <c r="D40">
        <v>194.3</v>
      </c>
    </row>
    <row r="41" spans="2:4" x14ac:dyDescent="0.25">
      <c r="B41" s="23">
        <v>45</v>
      </c>
      <c r="C41">
        <v>97692.299999999988</v>
      </c>
      <c r="D41">
        <v>203</v>
      </c>
    </row>
    <row r="42" spans="2:4" x14ac:dyDescent="0.25">
      <c r="B42" s="23">
        <v>46</v>
      </c>
      <c r="C42">
        <v>97489.299999999988</v>
      </c>
      <c r="D42">
        <v>217.1</v>
      </c>
    </row>
    <row r="43" spans="2:4" x14ac:dyDescent="0.25">
      <c r="B43" s="23">
        <v>47</v>
      </c>
      <c r="C43">
        <v>97272.199999999983</v>
      </c>
      <c r="D43">
        <v>253.3</v>
      </c>
    </row>
    <row r="44" spans="2:4" x14ac:dyDescent="0.25">
      <c r="B44" s="23">
        <v>48</v>
      </c>
      <c r="C44">
        <v>97018.89999999998</v>
      </c>
      <c r="D44">
        <v>258</v>
      </c>
    </row>
    <row r="45" spans="2:4" x14ac:dyDescent="0.25">
      <c r="B45" s="23">
        <v>49</v>
      </c>
      <c r="C45">
        <v>96760.89999999998</v>
      </c>
      <c r="D45">
        <v>287.10000000000002</v>
      </c>
    </row>
    <row r="46" spans="2:4" x14ac:dyDescent="0.25">
      <c r="B46" s="23">
        <v>50</v>
      </c>
      <c r="C46">
        <v>96473.799999999974</v>
      </c>
      <c r="D46">
        <v>316.60000000000002</v>
      </c>
    </row>
    <row r="47" spans="2:4" x14ac:dyDescent="0.25">
      <c r="B47" s="23">
        <v>51</v>
      </c>
      <c r="C47">
        <v>96157.199999999968</v>
      </c>
      <c r="D47">
        <v>322.2</v>
      </c>
    </row>
    <row r="48" spans="2:4" x14ac:dyDescent="0.25">
      <c r="B48" s="23">
        <v>52</v>
      </c>
      <c r="C48">
        <v>95834.999999999971</v>
      </c>
      <c r="D48">
        <v>348.8</v>
      </c>
    </row>
    <row r="49" spans="2:4" x14ac:dyDescent="0.25">
      <c r="B49" s="23">
        <v>53</v>
      </c>
      <c r="C49">
        <v>95486.199999999968</v>
      </c>
      <c r="D49">
        <v>368.3</v>
      </c>
    </row>
    <row r="50" spans="2:4" x14ac:dyDescent="0.25">
      <c r="B50" s="23">
        <v>54</v>
      </c>
      <c r="C50">
        <v>95117.899999999965</v>
      </c>
      <c r="D50">
        <v>400.8</v>
      </c>
    </row>
    <row r="51" spans="2:4" x14ac:dyDescent="0.25">
      <c r="B51" s="23">
        <v>55</v>
      </c>
      <c r="C51">
        <v>94717.099999999962</v>
      </c>
      <c r="D51">
        <v>451.2</v>
      </c>
    </row>
    <row r="52" spans="2:4" x14ac:dyDescent="0.25">
      <c r="B52" s="23">
        <v>56</v>
      </c>
      <c r="C52">
        <v>94265.899999999965</v>
      </c>
      <c r="D52">
        <v>496</v>
      </c>
    </row>
    <row r="53" spans="2:4" x14ac:dyDescent="0.25">
      <c r="B53" s="23">
        <v>57</v>
      </c>
      <c r="C53">
        <v>93769.899999999965</v>
      </c>
      <c r="D53">
        <v>534.70000000000005</v>
      </c>
    </row>
    <row r="54" spans="2:4" x14ac:dyDescent="0.25">
      <c r="B54" s="23">
        <v>58</v>
      </c>
      <c r="C54">
        <v>93235.199999999968</v>
      </c>
      <c r="D54">
        <v>576.9</v>
      </c>
    </row>
    <row r="55" spans="2:4" x14ac:dyDescent="0.25">
      <c r="B55" s="23">
        <v>59</v>
      </c>
      <c r="C55">
        <v>92658.299999999974</v>
      </c>
      <c r="D55">
        <v>628.1</v>
      </c>
    </row>
    <row r="56" spans="2:4" x14ac:dyDescent="0.25">
      <c r="B56" s="23">
        <v>60</v>
      </c>
      <c r="C56">
        <v>92030.199999999968</v>
      </c>
      <c r="D56">
        <v>712.4</v>
      </c>
    </row>
    <row r="57" spans="2:4" x14ac:dyDescent="0.25">
      <c r="B57" s="23">
        <v>61</v>
      </c>
      <c r="C57">
        <v>91317.799999999974</v>
      </c>
      <c r="D57">
        <v>761.5</v>
      </c>
    </row>
    <row r="58" spans="2:4" x14ac:dyDescent="0.25">
      <c r="B58" s="23">
        <v>62</v>
      </c>
      <c r="C58">
        <v>90556.299999999974</v>
      </c>
      <c r="D58">
        <v>822</v>
      </c>
    </row>
    <row r="59" spans="2:4" x14ac:dyDescent="0.25">
      <c r="B59" s="23">
        <v>63</v>
      </c>
      <c r="C59">
        <v>89734.299999999974</v>
      </c>
      <c r="D59">
        <v>917.1</v>
      </c>
    </row>
    <row r="60" spans="2:4" x14ac:dyDescent="0.25">
      <c r="B60" s="23">
        <v>64</v>
      </c>
      <c r="C60">
        <v>88817.199999999968</v>
      </c>
      <c r="D60">
        <v>990.7</v>
      </c>
    </row>
    <row r="61" spans="2:4" x14ac:dyDescent="0.25">
      <c r="B61" s="23">
        <v>65</v>
      </c>
      <c r="C61">
        <v>87826.499999999971</v>
      </c>
      <c r="D61">
        <v>1052</v>
      </c>
    </row>
    <row r="62" spans="2:4" x14ac:dyDescent="0.25">
      <c r="B62" s="23">
        <v>66</v>
      </c>
      <c r="C62">
        <v>86774.499999999971</v>
      </c>
      <c r="D62">
        <v>1132.7</v>
      </c>
    </row>
    <row r="63" spans="2:4" x14ac:dyDescent="0.25">
      <c r="B63" s="23">
        <v>67</v>
      </c>
      <c r="C63">
        <v>85641.799999999974</v>
      </c>
      <c r="D63">
        <v>1206.5</v>
      </c>
    </row>
    <row r="64" spans="2:4" x14ac:dyDescent="0.25">
      <c r="B64" s="23">
        <v>68</v>
      </c>
      <c r="C64">
        <v>84435.299999999974</v>
      </c>
      <c r="D64">
        <v>1284.0999999999999</v>
      </c>
    </row>
    <row r="65" spans="2:4" x14ac:dyDescent="0.25">
      <c r="B65" s="23">
        <v>69</v>
      </c>
      <c r="C65">
        <v>83151.199999999968</v>
      </c>
      <c r="D65">
        <v>1378.1</v>
      </c>
    </row>
    <row r="66" spans="2:4" x14ac:dyDescent="0.25">
      <c r="B66" s="23">
        <v>70</v>
      </c>
      <c r="C66">
        <v>81773.099999999962</v>
      </c>
      <c r="D66">
        <v>1493.7</v>
      </c>
    </row>
    <row r="67" spans="2:4" x14ac:dyDescent="0.25">
      <c r="B67" s="23">
        <v>71</v>
      </c>
      <c r="C67">
        <v>80279.399999999965</v>
      </c>
      <c r="D67">
        <v>1664.1</v>
      </c>
    </row>
    <row r="68" spans="2:4" x14ac:dyDescent="0.25">
      <c r="B68" s="23">
        <v>72</v>
      </c>
      <c r="C68">
        <v>78615.299999999959</v>
      </c>
      <c r="D68">
        <v>1792.7</v>
      </c>
    </row>
    <row r="69" spans="2:4" x14ac:dyDescent="0.25">
      <c r="B69" s="23">
        <v>73</v>
      </c>
      <c r="C69">
        <v>76822.599999999962</v>
      </c>
      <c r="D69">
        <v>1937.9</v>
      </c>
    </row>
    <row r="70" spans="2:4" x14ac:dyDescent="0.25">
      <c r="B70" s="23">
        <v>74</v>
      </c>
      <c r="C70">
        <v>74884.699999999968</v>
      </c>
      <c r="D70">
        <v>2148</v>
      </c>
    </row>
    <row r="71" spans="2:4" x14ac:dyDescent="0.25">
      <c r="B71" s="23">
        <v>75</v>
      </c>
      <c r="C71">
        <v>72736.699999999968</v>
      </c>
      <c r="D71">
        <v>2331.3000000000002</v>
      </c>
    </row>
    <row r="72" spans="2:4" x14ac:dyDescent="0.25">
      <c r="B72" s="23">
        <v>76</v>
      </c>
      <c r="C72">
        <v>70405.399999999965</v>
      </c>
      <c r="D72">
        <v>2508.1</v>
      </c>
    </row>
    <row r="73" spans="2:4" x14ac:dyDescent="0.25">
      <c r="B73" s="23">
        <v>77</v>
      </c>
      <c r="C73">
        <v>67897.299999999959</v>
      </c>
      <c r="D73">
        <v>2641.8</v>
      </c>
    </row>
    <row r="74" spans="2:4" x14ac:dyDescent="0.25">
      <c r="B74" s="23">
        <v>78</v>
      </c>
      <c r="C74">
        <v>65255.499999999956</v>
      </c>
      <c r="D74">
        <v>2822</v>
      </c>
    </row>
    <row r="75" spans="2:4" x14ac:dyDescent="0.25">
      <c r="B75" s="23">
        <v>79</v>
      </c>
      <c r="C75">
        <v>62433.499999999956</v>
      </c>
      <c r="D75">
        <v>2990.2</v>
      </c>
    </row>
    <row r="76" spans="2:4" x14ac:dyDescent="0.25">
      <c r="B76" s="23">
        <v>80</v>
      </c>
      <c r="C76">
        <v>59443.299999999959</v>
      </c>
      <c r="D76">
        <v>3217.5</v>
      </c>
    </row>
    <row r="77" spans="2:4" x14ac:dyDescent="0.25">
      <c r="B77" s="23">
        <v>81</v>
      </c>
      <c r="C77">
        <v>56225.799999999959</v>
      </c>
      <c r="D77">
        <v>3386.5</v>
      </c>
    </row>
    <row r="78" spans="2:4" x14ac:dyDescent="0.25">
      <c r="B78" s="23">
        <v>82</v>
      </c>
      <c r="C78">
        <v>52839.299999999959</v>
      </c>
      <c r="D78">
        <v>3607.1</v>
      </c>
    </row>
    <row r="79" spans="2:4" x14ac:dyDescent="0.25">
      <c r="B79" s="23">
        <v>83</v>
      </c>
      <c r="C79">
        <v>49232.199999999961</v>
      </c>
      <c r="D79">
        <v>3807.2</v>
      </c>
    </row>
    <row r="80" spans="2:4" x14ac:dyDescent="0.25">
      <c r="B80" s="23">
        <v>84</v>
      </c>
      <c r="C80">
        <v>45424.999999999964</v>
      </c>
      <c r="D80">
        <v>3932.4</v>
      </c>
    </row>
    <row r="81" spans="2:4" x14ac:dyDescent="0.25">
      <c r="B81" s="23">
        <v>85</v>
      </c>
      <c r="C81">
        <v>41492.599999999962</v>
      </c>
      <c r="D81">
        <v>4017.1</v>
      </c>
    </row>
    <row r="82" spans="2:4" x14ac:dyDescent="0.25">
      <c r="B82" s="23">
        <v>86</v>
      </c>
      <c r="C82">
        <v>37475.499999999964</v>
      </c>
      <c r="D82">
        <v>4054.2</v>
      </c>
    </row>
    <row r="83" spans="2:4" x14ac:dyDescent="0.25">
      <c r="B83" s="23">
        <v>87</v>
      </c>
      <c r="C83">
        <v>33421.299999999967</v>
      </c>
      <c r="D83">
        <v>4045.2</v>
      </c>
    </row>
    <row r="84" spans="2:4" x14ac:dyDescent="0.25">
      <c r="B84" s="23">
        <v>88</v>
      </c>
      <c r="C84">
        <v>29376.099999999966</v>
      </c>
      <c r="D84">
        <v>3977.3</v>
      </c>
    </row>
    <row r="85" spans="2:4" x14ac:dyDescent="0.25">
      <c r="B85" s="23">
        <v>89</v>
      </c>
      <c r="C85">
        <v>25398.799999999967</v>
      </c>
      <c r="D85">
        <v>3806.4</v>
      </c>
    </row>
    <row r="86" spans="2:4" x14ac:dyDescent="0.25">
      <c r="B86" s="23">
        <v>90</v>
      </c>
      <c r="C86">
        <v>21592.399999999965</v>
      </c>
      <c r="D86">
        <v>3618.7</v>
      </c>
    </row>
    <row r="87" spans="2:4" x14ac:dyDescent="0.25">
      <c r="B87" s="23">
        <v>91</v>
      </c>
      <c r="C87">
        <v>17973.699999999964</v>
      </c>
      <c r="D87">
        <v>3308.3</v>
      </c>
    </row>
    <row r="88" spans="2:4" x14ac:dyDescent="0.25">
      <c r="B88" s="23">
        <v>92</v>
      </c>
      <c r="C88">
        <v>14665.399999999965</v>
      </c>
      <c r="D88">
        <v>2930.8</v>
      </c>
    </row>
    <row r="89" spans="2:4" x14ac:dyDescent="0.25">
      <c r="B89" s="23">
        <v>93</v>
      </c>
      <c r="C89">
        <v>11734.599999999966</v>
      </c>
      <c r="D89">
        <v>2580.6999999999998</v>
      </c>
    </row>
    <row r="90" spans="2:4" x14ac:dyDescent="0.25">
      <c r="B90" s="23">
        <v>94</v>
      </c>
      <c r="C90">
        <v>9153.8999999999651</v>
      </c>
      <c r="D90">
        <v>2205.5</v>
      </c>
    </row>
    <row r="91" spans="2:4" x14ac:dyDescent="0.25">
      <c r="B91" s="23">
        <v>95</v>
      </c>
      <c r="C91">
        <v>6948.3999999999651</v>
      </c>
      <c r="D91">
        <v>1853.3</v>
      </c>
    </row>
    <row r="92" spans="2:4" x14ac:dyDescent="0.25">
      <c r="B92" s="23">
        <v>96</v>
      </c>
      <c r="C92">
        <v>5095.0999999999649</v>
      </c>
      <c r="D92">
        <v>1458.9</v>
      </c>
    </row>
    <row r="93" spans="2:4" x14ac:dyDescent="0.25">
      <c r="B93" s="23">
        <v>97</v>
      </c>
      <c r="C93">
        <v>3636.1999999999648</v>
      </c>
      <c r="D93">
        <v>1105.3</v>
      </c>
    </row>
    <row r="94" spans="2:4" x14ac:dyDescent="0.25">
      <c r="B94" s="23">
        <v>98</v>
      </c>
      <c r="C94">
        <v>2530.8999999999651</v>
      </c>
      <c r="D94">
        <v>784.5</v>
      </c>
    </row>
    <row r="95" spans="2:4" x14ac:dyDescent="0.25">
      <c r="B95" s="23">
        <v>99</v>
      </c>
      <c r="C95">
        <v>1746.3999999999651</v>
      </c>
      <c r="D95">
        <v>597.70000000000005</v>
      </c>
    </row>
    <row r="96" spans="2:4" x14ac:dyDescent="0.25">
      <c r="B96" s="23">
        <v>100</v>
      </c>
      <c r="C96">
        <v>1148.699999999965</v>
      </c>
      <c r="D96">
        <v>1148.7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89720-2235-4C16-9B5A-8FD3EA1D829E}">
  <dimension ref="A1:W39"/>
  <sheetViews>
    <sheetView topLeftCell="D1" workbookViewId="0">
      <selection activeCell="P10" sqref="P10"/>
    </sheetView>
  </sheetViews>
  <sheetFormatPr defaultRowHeight="15" x14ac:dyDescent="0.25"/>
  <cols>
    <col min="1" max="1" width="12.28515625" style="41" customWidth="1"/>
    <col min="2" max="2" width="12.42578125" style="41" customWidth="1"/>
    <col min="3" max="3" width="12.85546875" style="41" customWidth="1"/>
    <col min="4" max="4" width="10.140625" style="41" customWidth="1"/>
    <col min="5" max="5" width="10.42578125" style="41" customWidth="1"/>
    <col min="6" max="6" width="11.85546875" style="41" customWidth="1"/>
    <col min="7" max="11" width="9.140625" style="41"/>
    <col min="12" max="12" width="12" style="41" bestFit="1" customWidth="1"/>
    <col min="13" max="16" width="9.140625" style="41"/>
    <col min="17" max="17" width="10.85546875" style="41" customWidth="1"/>
    <col min="18" max="18" width="9.140625" style="41"/>
    <col min="19" max="21" width="11.5703125" style="41" bestFit="1" customWidth="1"/>
    <col min="22" max="23" width="10.5703125" style="41" bestFit="1" customWidth="1"/>
    <col min="24" max="16384" width="9.140625" style="41"/>
  </cols>
  <sheetData>
    <row r="1" spans="1:23" x14ac:dyDescent="0.25">
      <c r="B1" s="54" t="s">
        <v>115</v>
      </c>
      <c r="C1" s="55" t="s">
        <v>97</v>
      </c>
      <c r="D1" s="55"/>
      <c r="E1" s="54" t="s">
        <v>24</v>
      </c>
      <c r="F1" s="55" t="s">
        <v>97</v>
      </c>
      <c r="I1" s="39" t="s">
        <v>96</v>
      </c>
      <c r="J1" s="39" t="s">
        <v>96</v>
      </c>
      <c r="K1" s="39" t="s">
        <v>96</v>
      </c>
      <c r="L1" s="39" t="s">
        <v>96</v>
      </c>
      <c r="M1" s="39" t="s">
        <v>96</v>
      </c>
      <c r="N1" s="40" t="s">
        <v>97</v>
      </c>
      <c r="O1" s="40"/>
      <c r="P1" s="40"/>
      <c r="Q1" s="39" t="s">
        <v>96</v>
      </c>
      <c r="R1" s="39" t="s">
        <v>97</v>
      </c>
      <c r="S1" s="55" t="s">
        <v>97</v>
      </c>
      <c r="T1" s="55" t="s">
        <v>97</v>
      </c>
    </row>
    <row r="3" spans="1:23" x14ac:dyDescent="0.25">
      <c r="A3" s="56" t="s">
        <v>14</v>
      </c>
    </row>
    <row r="4" spans="1:23" x14ac:dyDescent="0.25">
      <c r="A4" s="41" t="s">
        <v>15</v>
      </c>
      <c r="B4" s="43">
        <f>'Q3 Base'!F2</f>
        <v>5.5E-2</v>
      </c>
      <c r="E4" s="57" t="s">
        <v>22</v>
      </c>
      <c r="F4" s="58">
        <f>A7/C7</f>
        <v>13761.077935877911</v>
      </c>
      <c r="N4" s="68" t="s">
        <v>176</v>
      </c>
      <c r="O4" s="69"/>
      <c r="P4" s="70"/>
      <c r="R4" s="57"/>
      <c r="S4" s="59"/>
    </row>
    <row r="5" spans="1:23" x14ac:dyDescent="0.25">
      <c r="A5" s="41" t="s">
        <v>16</v>
      </c>
      <c r="B5" s="41">
        <f>1/(1+$B$4)</f>
        <v>0.94786729857819907</v>
      </c>
      <c r="D5" s="41" t="s">
        <v>117</v>
      </c>
      <c r="N5" s="71"/>
      <c r="O5" s="72"/>
      <c r="P5" s="73"/>
      <c r="R5" s="57"/>
      <c r="S5" s="60"/>
    </row>
    <row r="6" spans="1:23" x14ac:dyDescent="0.25">
      <c r="A6" s="41" t="s">
        <v>17</v>
      </c>
      <c r="B6" s="57" t="s">
        <v>18</v>
      </c>
      <c r="C6" s="61" t="s">
        <v>19</v>
      </c>
      <c r="N6" s="71"/>
      <c r="O6" s="72"/>
      <c r="P6" s="73"/>
    </row>
    <row r="7" spans="1:23" x14ac:dyDescent="0.25">
      <c r="A7" s="62">
        <v>200000</v>
      </c>
      <c r="B7" s="41">
        <v>30</v>
      </c>
      <c r="C7" s="41">
        <f>(1-B5^B7)/B4</f>
        <v>14.533745171122066</v>
      </c>
      <c r="N7" s="71"/>
      <c r="O7" s="72"/>
      <c r="P7" s="73"/>
    </row>
    <row r="8" spans="1:23" x14ac:dyDescent="0.25">
      <c r="H8" s="63" t="s">
        <v>112</v>
      </c>
      <c r="I8" s="64">
        <v>5</v>
      </c>
      <c r="L8" s="65" t="s">
        <v>15</v>
      </c>
      <c r="M8" s="43">
        <f>'Q3 Base'!G5</f>
        <v>3.5000000000000003E-2</v>
      </c>
      <c r="N8" s="71" t="s">
        <v>116</v>
      </c>
      <c r="O8" s="72">
        <f>SUM(O10:O39)</f>
        <v>17.767637217442413</v>
      </c>
      <c r="P8" s="73"/>
      <c r="V8" s="66"/>
      <c r="W8" s="66"/>
    </row>
    <row r="9" spans="1:23" ht="46.5" x14ac:dyDescent="0.35">
      <c r="A9" s="67" t="s">
        <v>126</v>
      </c>
      <c r="B9" s="51" t="s">
        <v>157</v>
      </c>
      <c r="C9" s="51" t="s">
        <v>25</v>
      </c>
      <c r="D9" s="51" t="s">
        <v>26</v>
      </c>
      <c r="E9" s="51" t="s">
        <v>27</v>
      </c>
      <c r="F9" s="51" t="s">
        <v>158</v>
      </c>
      <c r="H9" s="67" t="s">
        <v>7</v>
      </c>
      <c r="I9" s="44" t="s">
        <v>20</v>
      </c>
      <c r="J9" s="67" t="s">
        <v>94</v>
      </c>
      <c r="K9" s="67" t="s">
        <v>113</v>
      </c>
      <c r="L9" s="67" t="s">
        <v>127</v>
      </c>
      <c r="M9" s="67" t="s">
        <v>95</v>
      </c>
      <c r="N9" s="74" t="s">
        <v>98</v>
      </c>
      <c r="O9" s="75" t="s">
        <v>175</v>
      </c>
      <c r="P9" s="76" t="s">
        <v>98</v>
      </c>
      <c r="Q9" s="44" t="s">
        <v>34</v>
      </c>
      <c r="R9" s="44" t="s">
        <v>114</v>
      </c>
      <c r="S9" s="51" t="s">
        <v>178</v>
      </c>
      <c r="T9" s="51" t="s">
        <v>177</v>
      </c>
    </row>
    <row r="10" spans="1:23" x14ac:dyDescent="0.25">
      <c r="A10" s="41">
        <v>1</v>
      </c>
      <c r="B10" s="62">
        <f>A7</f>
        <v>200000</v>
      </c>
      <c r="C10" s="59">
        <f>$F$4</f>
        <v>13761.077935877911</v>
      </c>
      <c r="D10" s="62">
        <f>B10*$B$4</f>
        <v>11000</v>
      </c>
      <c r="E10" s="62">
        <f>C10-D10</f>
        <v>2761.0779358779109</v>
      </c>
      <c r="F10" s="62">
        <f>B10-E10</f>
        <v>197238.9220641221</v>
      </c>
      <c r="H10" s="41">
        <v>32</v>
      </c>
      <c r="I10" s="41">
        <f t="shared" ref="I10:I39" si="0">H10+$I$8</f>
        <v>37</v>
      </c>
      <c r="J10" s="41">
        <f>'Q3 Base'!D33/'Q3 Base'!C33</f>
        <v>1.0902445363881754E-3</v>
      </c>
      <c r="K10" s="41">
        <f>'Q3 Base'!C34/'Q3 Base'!$C$33</f>
        <v>0.99890975546361183</v>
      </c>
      <c r="L10" s="41">
        <f>J10</f>
        <v>1.0902445363881754E-3</v>
      </c>
      <c r="M10" s="41">
        <f>(1+$M$8)^-A10</f>
        <v>0.96618357487922713</v>
      </c>
      <c r="N10" s="71">
        <f>SUMPRODUCT(K10:K39,M10:M39)</f>
        <v>17.767637217442413</v>
      </c>
      <c r="O10" s="72">
        <f>K10*M10</f>
        <v>0.96513019851556703</v>
      </c>
      <c r="P10" s="73">
        <f t="shared" ref="P10:P38" si="1">(1+P11)*(1-J10)/(1+$M$8)</f>
        <v>17.767637217442413</v>
      </c>
      <c r="Q10" s="62">
        <f>B10</f>
        <v>200000</v>
      </c>
      <c r="R10" s="66">
        <f>Q10*L10*M10</f>
        <v>210.67527273201458</v>
      </c>
      <c r="S10" s="66">
        <f>SUM(R10:R39)/N10</f>
        <v>403.96079298724146</v>
      </c>
      <c r="T10" s="59">
        <f>F4+S10</f>
        <v>14165.038728865153</v>
      </c>
      <c r="V10" s="66"/>
      <c r="W10" s="66"/>
    </row>
    <row r="11" spans="1:23" x14ac:dyDescent="0.25">
      <c r="A11" s="41">
        <v>2</v>
      </c>
      <c r="B11" s="62">
        <f>F10</f>
        <v>197238.9220641221</v>
      </c>
      <c r="C11" s="59">
        <f t="shared" ref="C11:C39" si="2">$F$4</f>
        <v>13761.077935877911</v>
      </c>
      <c r="D11" s="62">
        <f t="shared" ref="D11:D39" si="3">B11*$B$4</f>
        <v>10848.140713526716</v>
      </c>
      <c r="E11" s="62">
        <f t="shared" ref="E11:E39" si="4">C11-D11</f>
        <v>2912.9372223511946</v>
      </c>
      <c r="F11" s="62">
        <f t="shared" ref="F11:F39" si="5">B11-E11</f>
        <v>194325.9848417709</v>
      </c>
      <c r="H11" s="41">
        <v>33</v>
      </c>
      <c r="I11" s="41">
        <f t="shared" si="0"/>
        <v>38</v>
      </c>
      <c r="J11" s="41">
        <f>'Q3 Base'!D34/'Q3 Base'!C34</f>
        <v>1.1552195980321779E-3</v>
      </c>
      <c r="K11" s="41">
        <f>'Q3 Base'!C35/'Q3 Base'!$C$33</f>
        <v>0.99775579533743464</v>
      </c>
      <c r="L11" s="41">
        <f>K10*J11</f>
        <v>1.1539601261770947E-3</v>
      </c>
      <c r="M11" s="41">
        <f t="shared" ref="M11:M39" si="6">(1+$M$8)^-A11</f>
        <v>0.93351070036640305</v>
      </c>
      <c r="N11" s="71"/>
      <c r="O11" s="72">
        <f t="shared" ref="O11:O39" si="7">K11*M11</f>
        <v>0.93141571130008616</v>
      </c>
      <c r="P11" s="73">
        <f t="shared" si="1"/>
        <v>17.409575459114421</v>
      </c>
      <c r="Q11" s="62">
        <f t="shared" ref="Q11:Q39" si="8">B11</f>
        <v>197238.9220641221</v>
      </c>
      <c r="R11" s="66">
        <f t="shared" ref="R11:R39" si="9">Q11*L11*M11</f>
        <v>212.47249774057599</v>
      </c>
      <c r="V11" s="66"/>
      <c r="W11" s="66"/>
    </row>
    <row r="12" spans="1:23" x14ac:dyDescent="0.25">
      <c r="A12" s="41">
        <v>3</v>
      </c>
      <c r="B12" s="62">
        <f t="shared" ref="B12:B39" si="10">F11</f>
        <v>194325.9848417709</v>
      </c>
      <c r="C12" s="59">
        <f t="shared" si="2"/>
        <v>13761.077935877911</v>
      </c>
      <c r="D12" s="62">
        <f t="shared" si="3"/>
        <v>10687.929166297399</v>
      </c>
      <c r="E12" s="62">
        <f t="shared" si="4"/>
        <v>3073.1487695805117</v>
      </c>
      <c r="F12" s="62">
        <f t="shared" si="5"/>
        <v>191252.83607219037</v>
      </c>
      <c r="H12" s="41">
        <v>34</v>
      </c>
      <c r="I12" s="41">
        <f t="shared" si="0"/>
        <v>39</v>
      </c>
      <c r="J12" s="41">
        <f>'Q3 Base'!D35/'Q3 Base'!C35</f>
        <v>1.2781916780700421E-3</v>
      </c>
      <c r="K12" s="41">
        <f>'Q3 Base'!C36/'Q3 Base'!$C$33</f>
        <v>0.99648047218308811</v>
      </c>
      <c r="L12" s="41">
        <f t="shared" ref="L12:L39" si="11">K11*J12</f>
        <v>1.2753231543464652E-3</v>
      </c>
      <c r="M12" s="41">
        <f t="shared" si="6"/>
        <v>0.90194270566802237</v>
      </c>
      <c r="N12" s="71"/>
      <c r="O12" s="72">
        <f t="shared" si="7"/>
        <v>0.89876829322616303</v>
      </c>
      <c r="P12" s="73">
        <f t="shared" si="1"/>
        <v>17.039750473473994</v>
      </c>
      <c r="Q12" s="62">
        <f t="shared" si="8"/>
        <v>194325.9848417709</v>
      </c>
      <c r="R12" s="66">
        <f t="shared" si="9"/>
        <v>223.52704285559633</v>
      </c>
      <c r="V12" s="66"/>
      <c r="W12" s="66"/>
    </row>
    <row r="13" spans="1:23" x14ac:dyDescent="0.25">
      <c r="A13" s="41">
        <v>4</v>
      </c>
      <c r="B13" s="62">
        <f t="shared" si="10"/>
        <v>191252.83607219037</v>
      </c>
      <c r="C13" s="59">
        <f t="shared" si="2"/>
        <v>13761.077935877911</v>
      </c>
      <c r="D13" s="62">
        <f t="shared" si="3"/>
        <v>10518.905983970471</v>
      </c>
      <c r="E13" s="62">
        <f t="shared" si="4"/>
        <v>3242.1719519074395</v>
      </c>
      <c r="F13" s="62">
        <f t="shared" si="5"/>
        <v>188010.66412028292</v>
      </c>
      <c r="H13" s="41">
        <v>35</v>
      </c>
      <c r="I13" s="41">
        <f t="shared" si="0"/>
        <v>40</v>
      </c>
      <c r="J13" s="41">
        <f>'Q3 Base'!D36/'Q3 Base'!C36</f>
        <v>1.4036490816400063E-3</v>
      </c>
      <c r="K13" s="41">
        <f>'Q3 Base'!C37/'Q3 Base'!$C$33</f>
        <v>0.99508176328343612</v>
      </c>
      <c r="L13" s="41">
        <f t="shared" si="11"/>
        <v>1.3987088996519914E-3</v>
      </c>
      <c r="M13" s="41">
        <f t="shared" si="6"/>
        <v>0.87144222769857238</v>
      </c>
      <c r="N13" s="71"/>
      <c r="O13" s="72">
        <f t="shared" si="7"/>
        <v>0.86715626853794103</v>
      </c>
      <c r="P13" s="73">
        <f t="shared" si="1"/>
        <v>16.658712959996475</v>
      </c>
      <c r="Q13" s="62">
        <f t="shared" si="8"/>
        <v>191252.83607219037</v>
      </c>
      <c r="R13" s="66">
        <f t="shared" si="9"/>
        <v>233.11693425940749</v>
      </c>
      <c r="V13" s="66"/>
      <c r="W13" s="66"/>
    </row>
    <row r="14" spans="1:23" x14ac:dyDescent="0.25">
      <c r="A14" s="41">
        <v>5</v>
      </c>
      <c r="B14" s="62">
        <f t="shared" si="10"/>
        <v>188010.66412028292</v>
      </c>
      <c r="C14" s="59">
        <f t="shared" si="2"/>
        <v>13761.077935877911</v>
      </c>
      <c r="D14" s="62">
        <f t="shared" si="3"/>
        <v>10340.586526615562</v>
      </c>
      <c r="E14" s="62">
        <f t="shared" si="4"/>
        <v>3420.4914092623494</v>
      </c>
      <c r="F14" s="62">
        <f t="shared" si="5"/>
        <v>184590.17271102057</v>
      </c>
      <c r="H14" s="41">
        <v>36</v>
      </c>
      <c r="I14" s="41">
        <f t="shared" si="0"/>
        <v>41</v>
      </c>
      <c r="J14" s="41">
        <f>'Q3 Base'!D37/'Q3 Base'!C37</f>
        <v>1.5916154592003709E-3</v>
      </c>
      <c r="K14" s="41">
        <f>'Q3 Base'!C38/'Q3 Base'!$C$33</f>
        <v>0.99349797576582577</v>
      </c>
      <c r="L14" s="41">
        <f t="shared" si="11"/>
        <v>1.5837875176102809E-3</v>
      </c>
      <c r="M14" s="41">
        <f t="shared" si="6"/>
        <v>0.84197316685852419</v>
      </c>
      <c r="N14" s="71"/>
      <c r="O14" s="72">
        <f t="shared" si="7"/>
        <v>0.83649863692308568</v>
      </c>
      <c r="P14" s="73">
        <f t="shared" si="1"/>
        <v>16.266003323304702</v>
      </c>
      <c r="Q14" s="62">
        <f t="shared" si="8"/>
        <v>188010.66412028292</v>
      </c>
      <c r="R14" s="66">
        <f t="shared" si="9"/>
        <v>250.71345993935921</v>
      </c>
      <c r="V14" s="66"/>
      <c r="W14" s="66"/>
    </row>
    <row r="15" spans="1:23" x14ac:dyDescent="0.25">
      <c r="A15" s="41">
        <v>6</v>
      </c>
      <c r="B15" s="62">
        <f t="shared" si="10"/>
        <v>184590.17271102057</v>
      </c>
      <c r="C15" s="59">
        <f t="shared" si="2"/>
        <v>13761.077935877911</v>
      </c>
      <c r="D15" s="62">
        <f t="shared" si="3"/>
        <v>10152.459499106131</v>
      </c>
      <c r="E15" s="62">
        <f t="shared" si="4"/>
        <v>3608.6184367717797</v>
      </c>
      <c r="F15" s="62">
        <f t="shared" si="5"/>
        <v>180981.55427424877</v>
      </c>
      <c r="H15" s="41">
        <v>37</v>
      </c>
      <c r="I15" s="41">
        <f t="shared" si="0"/>
        <v>42</v>
      </c>
      <c r="J15" s="41">
        <f>'Q3 Base'!D38/'Q3 Base'!C38</f>
        <v>1.6745729584461595E-3</v>
      </c>
      <c r="K15" s="41">
        <f>'Q3 Base'!C39/'Q3 Base'!$C$33</f>
        <v>0.99183429092133735</v>
      </c>
      <c r="L15" s="41">
        <f t="shared" si="11"/>
        <v>1.6636848444884498E-3</v>
      </c>
      <c r="M15" s="41">
        <f t="shared" si="6"/>
        <v>0.81350064430775282</v>
      </c>
      <c r="N15" s="71"/>
      <c r="O15" s="72">
        <f t="shared" si="7"/>
        <v>0.80685783471103112</v>
      </c>
      <c r="P15" s="73">
        <f t="shared" si="1"/>
        <v>15.862151500624138</v>
      </c>
      <c r="Q15" s="62">
        <f t="shared" si="8"/>
        <v>184590.17271102057</v>
      </c>
      <c r="R15" s="66">
        <f t="shared" si="9"/>
        <v>249.82594437403444</v>
      </c>
      <c r="V15" s="66"/>
      <c r="W15" s="66"/>
    </row>
    <row r="16" spans="1:23" x14ac:dyDescent="0.25">
      <c r="A16" s="41">
        <v>7</v>
      </c>
      <c r="B16" s="62">
        <f t="shared" si="10"/>
        <v>180981.55427424877</v>
      </c>
      <c r="C16" s="59">
        <f t="shared" si="2"/>
        <v>13761.077935877911</v>
      </c>
      <c r="D16" s="62">
        <f t="shared" si="3"/>
        <v>9953.9854850836819</v>
      </c>
      <c r="E16" s="62">
        <f t="shared" si="4"/>
        <v>3807.0924507942291</v>
      </c>
      <c r="F16" s="62">
        <f t="shared" si="5"/>
        <v>177174.46182345453</v>
      </c>
      <c r="H16" s="41">
        <v>38</v>
      </c>
      <c r="I16" s="41">
        <f t="shared" si="0"/>
        <v>43</v>
      </c>
      <c r="J16" s="41">
        <f>'Q3 Base'!D39/'Q3 Base'!C39</f>
        <v>1.8650039002951991E-3</v>
      </c>
      <c r="K16" s="41">
        <f>'Q3 Base'!C40/'Q3 Base'!$C$33</f>
        <v>0.98998451610032256</v>
      </c>
      <c r="L16" s="41">
        <f t="shared" si="11"/>
        <v>1.8497748210148173E-3</v>
      </c>
      <c r="M16" s="41">
        <f t="shared" si="6"/>
        <v>0.78599096068381913</v>
      </c>
      <c r="N16" s="71"/>
      <c r="O16" s="72">
        <f t="shared" si="7"/>
        <v>0.77811888087179837</v>
      </c>
      <c r="P16" s="73">
        <f t="shared" si="1"/>
        <v>15.444864929261824</v>
      </c>
      <c r="Q16" s="62">
        <f t="shared" si="8"/>
        <v>180981.55427424877</v>
      </c>
      <c r="R16" s="66">
        <f t="shared" si="9"/>
        <v>263.13021988322197</v>
      </c>
      <c r="V16" s="66"/>
      <c r="W16" s="66"/>
    </row>
    <row r="17" spans="1:23" x14ac:dyDescent="0.25">
      <c r="A17" s="41">
        <v>8</v>
      </c>
      <c r="B17" s="62">
        <f t="shared" si="10"/>
        <v>177174.46182345453</v>
      </c>
      <c r="C17" s="59">
        <f t="shared" si="2"/>
        <v>13761.077935877911</v>
      </c>
      <c r="D17" s="62">
        <f t="shared" si="3"/>
        <v>9744.5954002899998</v>
      </c>
      <c r="E17" s="62">
        <f t="shared" si="4"/>
        <v>4016.4825355879111</v>
      </c>
      <c r="F17" s="62">
        <f t="shared" si="5"/>
        <v>173157.97928786662</v>
      </c>
      <c r="H17" s="41">
        <v>39</v>
      </c>
      <c r="I17" s="41">
        <f t="shared" si="0"/>
        <v>44</v>
      </c>
      <c r="J17" s="41">
        <f>'Q3 Base'!D40/'Q3 Base'!C40</f>
        <v>1.9849499318599279E-3</v>
      </c>
      <c r="K17" s="41">
        <f>'Q3 Base'!C41/'Q3 Base'!$C$33</f>
        <v>0.9880194464025468</v>
      </c>
      <c r="L17" s="41">
        <f t="shared" si="11"/>
        <v>1.965069697775719E-3</v>
      </c>
      <c r="M17" s="41">
        <f t="shared" si="6"/>
        <v>0.75941155621625056</v>
      </c>
      <c r="N17" s="71"/>
      <c r="O17" s="72">
        <f t="shared" si="7"/>
        <v>0.75031338536447645</v>
      </c>
      <c r="P17" s="73">
        <f t="shared" si="1"/>
        <v>15.015303805848303</v>
      </c>
      <c r="Q17" s="62">
        <f t="shared" si="8"/>
        <v>177174.46182345453</v>
      </c>
      <c r="R17" s="66">
        <f t="shared" si="9"/>
        <v>264.39685358771396</v>
      </c>
      <c r="V17" s="66"/>
      <c r="W17" s="66"/>
    </row>
    <row r="18" spans="1:23" x14ac:dyDescent="0.25">
      <c r="A18" s="41">
        <v>9</v>
      </c>
      <c r="B18" s="62">
        <f t="shared" si="10"/>
        <v>173157.97928786662</v>
      </c>
      <c r="C18" s="59">
        <f t="shared" si="2"/>
        <v>13761.077935877911</v>
      </c>
      <c r="D18" s="62">
        <f t="shared" si="3"/>
        <v>9523.6888608326644</v>
      </c>
      <c r="E18" s="62">
        <f t="shared" si="4"/>
        <v>4237.3890750452465</v>
      </c>
      <c r="F18" s="62">
        <f t="shared" si="5"/>
        <v>168920.59021282138</v>
      </c>
      <c r="H18" s="41">
        <v>40</v>
      </c>
      <c r="I18" s="41">
        <f t="shared" si="0"/>
        <v>45</v>
      </c>
      <c r="J18" s="41">
        <f>'Q3 Base'!D41/'Q3 Base'!C41</f>
        <v>2.0779529195238521E-3</v>
      </c>
      <c r="K18" s="41">
        <f>'Q3 Base'!C42/'Q3 Base'!$C$33</f>
        <v>0.98596638850934826</v>
      </c>
      <c r="L18" s="41">
        <f t="shared" si="11"/>
        <v>2.0530578931985122E-3</v>
      </c>
      <c r="M18" s="41">
        <f t="shared" si="6"/>
        <v>0.73373097218961414</v>
      </c>
      <c r="N18" s="71"/>
      <c r="O18" s="72">
        <f t="shared" si="7"/>
        <v>0.72343407678724692</v>
      </c>
      <c r="P18" s="73">
        <f t="shared" si="1"/>
        <v>14.571748580336472</v>
      </c>
      <c r="Q18" s="62">
        <f t="shared" si="8"/>
        <v>173157.97928786662</v>
      </c>
      <c r="R18" s="66">
        <f t="shared" si="9"/>
        <v>260.84382312259902</v>
      </c>
      <c r="V18" s="66"/>
      <c r="W18" s="66"/>
    </row>
    <row r="19" spans="1:23" x14ac:dyDescent="0.25">
      <c r="A19" s="41">
        <v>10</v>
      </c>
      <c r="B19" s="62">
        <f t="shared" si="10"/>
        <v>168920.59021282138</v>
      </c>
      <c r="C19" s="59">
        <f t="shared" si="2"/>
        <v>13761.077935877911</v>
      </c>
      <c r="D19" s="62">
        <f t="shared" si="3"/>
        <v>9290.632461705176</v>
      </c>
      <c r="E19" s="62">
        <f t="shared" si="4"/>
        <v>4470.445474172735</v>
      </c>
      <c r="F19" s="62">
        <f t="shared" si="5"/>
        <v>164450.14473864864</v>
      </c>
      <c r="H19" s="41">
        <v>41</v>
      </c>
      <c r="I19" s="41">
        <f t="shared" si="0"/>
        <v>46</v>
      </c>
      <c r="J19" s="41">
        <f>'Q3 Base'!D42/'Q3 Base'!C42</f>
        <v>2.2269110558799789E-3</v>
      </c>
      <c r="K19" s="41">
        <f>'Q3 Base'!C43/'Q3 Base'!$C$33</f>
        <v>0.98377072905805074</v>
      </c>
      <c r="L19" s="41">
        <f t="shared" si="11"/>
        <v>2.1956594512975223E-3</v>
      </c>
      <c r="M19" s="41">
        <f t="shared" si="6"/>
        <v>0.70891881370977217</v>
      </c>
      <c r="N19" s="71"/>
      <c r="O19" s="72">
        <f t="shared" si="7"/>
        <v>0.69741357820623107</v>
      </c>
      <c r="P19" s="73">
        <f t="shared" si="1"/>
        <v>14.113164224371522</v>
      </c>
      <c r="Q19" s="62">
        <f t="shared" si="8"/>
        <v>168920.59021282138</v>
      </c>
      <c r="R19" s="66">
        <f t="shared" si="9"/>
        <v>262.93238075455571</v>
      </c>
      <c r="V19" s="66"/>
      <c r="W19" s="66"/>
    </row>
    <row r="20" spans="1:23" x14ac:dyDescent="0.25">
      <c r="A20" s="41">
        <v>11</v>
      </c>
      <c r="B20" s="62">
        <f t="shared" si="10"/>
        <v>164450.14473864864</v>
      </c>
      <c r="C20" s="59">
        <f t="shared" si="2"/>
        <v>13761.077935877911</v>
      </c>
      <c r="D20" s="62">
        <f t="shared" si="3"/>
        <v>9044.757960625675</v>
      </c>
      <c r="E20" s="62">
        <f t="shared" si="4"/>
        <v>4716.319975252236</v>
      </c>
      <c r="F20" s="62">
        <f t="shared" si="5"/>
        <v>159733.82476339641</v>
      </c>
      <c r="H20" s="41">
        <v>42</v>
      </c>
      <c r="I20" s="41">
        <f t="shared" si="0"/>
        <v>47</v>
      </c>
      <c r="J20" s="41">
        <f>'Q3 Base'!D43/'Q3 Base'!C43</f>
        <v>2.6040328069068044E-3</v>
      </c>
      <c r="K20" s="41">
        <f>'Q3 Base'!C44/'Q3 Base'!$C$33</f>
        <v>0.98120895780510886</v>
      </c>
      <c r="L20" s="41">
        <f t="shared" si="11"/>
        <v>2.5617712529417895E-3</v>
      </c>
      <c r="M20" s="41">
        <f t="shared" si="6"/>
        <v>0.68494571372924851</v>
      </c>
      <c r="N20" s="71"/>
      <c r="O20" s="72">
        <f t="shared" si="7"/>
        <v>0.67207486992135235</v>
      </c>
      <c r="P20" s="73">
        <f t="shared" si="1"/>
        <v>13.639726340667615</v>
      </c>
      <c r="Q20" s="62">
        <f t="shared" si="8"/>
        <v>164450.14473864864</v>
      </c>
      <c r="R20" s="66">
        <f t="shared" si="9"/>
        <v>288.55643261503872</v>
      </c>
      <c r="V20" s="66"/>
      <c r="W20" s="66"/>
    </row>
    <row r="21" spans="1:23" x14ac:dyDescent="0.25">
      <c r="A21" s="41">
        <v>12</v>
      </c>
      <c r="B21" s="62">
        <f t="shared" si="10"/>
        <v>159733.82476339641</v>
      </c>
      <c r="C21" s="59">
        <f t="shared" si="2"/>
        <v>13761.077935877911</v>
      </c>
      <c r="D21" s="62">
        <f t="shared" si="3"/>
        <v>8785.3603619868027</v>
      </c>
      <c r="E21" s="62">
        <f t="shared" si="4"/>
        <v>4975.7175738911083</v>
      </c>
      <c r="F21" s="62">
        <f t="shared" si="5"/>
        <v>154758.1071895053</v>
      </c>
      <c r="H21" s="41">
        <v>43</v>
      </c>
      <c r="I21" s="41">
        <f t="shared" si="0"/>
        <v>48</v>
      </c>
      <c r="J21" s="41">
        <f>'Q3 Base'!D44/'Q3 Base'!C44</f>
        <v>2.6592756669061393E-3</v>
      </c>
      <c r="K21" s="41">
        <f>'Q3 Base'!C45/'Q3 Base'!$C$33</f>
        <v>0.97859965269946747</v>
      </c>
      <c r="L21" s="41">
        <f t="shared" si="11"/>
        <v>2.6093051056414588E-3</v>
      </c>
      <c r="M21" s="41">
        <f t="shared" si="6"/>
        <v>0.66178329828912896</v>
      </c>
      <c r="N21" s="71"/>
      <c r="O21" s="72">
        <f t="shared" si="7"/>
        <v>0.64762090586804966</v>
      </c>
      <c r="P21" s="73">
        <f t="shared" si="1"/>
        <v>13.153974175692595</v>
      </c>
      <c r="Q21" s="62">
        <f t="shared" si="8"/>
        <v>159733.82476339641</v>
      </c>
      <c r="R21" s="66">
        <f t="shared" si="9"/>
        <v>275.82749630365248</v>
      </c>
      <c r="V21" s="66"/>
      <c r="W21" s="66"/>
    </row>
    <row r="22" spans="1:23" x14ac:dyDescent="0.25">
      <c r="A22" s="41">
        <v>13</v>
      </c>
      <c r="B22" s="62">
        <f t="shared" si="10"/>
        <v>154758.1071895053</v>
      </c>
      <c r="C22" s="59">
        <f t="shared" si="2"/>
        <v>13761.077935877911</v>
      </c>
      <c r="D22" s="62">
        <f t="shared" si="3"/>
        <v>8511.6958954227921</v>
      </c>
      <c r="E22" s="62">
        <f t="shared" si="4"/>
        <v>5249.3820404551188</v>
      </c>
      <c r="F22" s="62">
        <f t="shared" si="5"/>
        <v>149508.72514905018</v>
      </c>
      <c r="H22" s="41">
        <v>44</v>
      </c>
      <c r="I22" s="41">
        <f t="shared" si="0"/>
        <v>49</v>
      </c>
      <c r="J22" s="41">
        <f>'Q3 Base'!D45/'Q3 Base'!C45</f>
        <v>2.9671075816781376E-3</v>
      </c>
      <c r="K22" s="41">
        <f>'Q3 Base'!C46/'Q3 Base'!$C$33</f>
        <v>0.97569604225051521</v>
      </c>
      <c r="L22" s="41">
        <f t="shared" si="11"/>
        <v>2.9036104489521823E-3</v>
      </c>
      <c r="M22" s="41">
        <f t="shared" si="6"/>
        <v>0.63940415293635666</v>
      </c>
      <c r="N22" s="71"/>
      <c r="O22" s="72">
        <f t="shared" si="7"/>
        <v>0.62386410141854631</v>
      </c>
      <c r="P22" s="73">
        <f t="shared" si="1"/>
        <v>12.650664150855311</v>
      </c>
      <c r="Q22" s="62">
        <f t="shared" si="8"/>
        <v>154758.1071895053</v>
      </c>
      <c r="R22" s="66">
        <f t="shared" si="9"/>
        <v>287.32089633895885</v>
      </c>
      <c r="V22" s="66"/>
      <c r="W22" s="66"/>
    </row>
    <row r="23" spans="1:23" x14ac:dyDescent="0.25">
      <c r="A23" s="41">
        <v>14</v>
      </c>
      <c r="B23" s="62">
        <f t="shared" si="10"/>
        <v>149508.72514905018</v>
      </c>
      <c r="C23" s="59">
        <f t="shared" si="2"/>
        <v>13761.077935877911</v>
      </c>
      <c r="D23" s="62">
        <f t="shared" si="3"/>
        <v>8222.9798831977605</v>
      </c>
      <c r="E23" s="62">
        <f t="shared" si="4"/>
        <v>5538.0980526801504</v>
      </c>
      <c r="F23" s="62">
        <f t="shared" si="5"/>
        <v>143970.62709637004</v>
      </c>
      <c r="H23" s="41">
        <v>45</v>
      </c>
      <c r="I23" s="41">
        <f t="shared" si="0"/>
        <v>50</v>
      </c>
      <c r="J23" s="41">
        <f>'Q3 Base'!D46/'Q3 Base'!C46</f>
        <v>3.2817200110289023E-3</v>
      </c>
      <c r="K23" s="41">
        <f>'Q3 Base'!C47/'Q3 Base'!$C$33</f>
        <v>0.97249408102397994</v>
      </c>
      <c r="L23" s="41">
        <f t="shared" si="11"/>
        <v>3.2019612265352169E-3</v>
      </c>
      <c r="M23" s="41">
        <f t="shared" si="6"/>
        <v>0.61778179027667302</v>
      </c>
      <c r="N23" s="71"/>
      <c r="O23" s="72">
        <f t="shared" si="7"/>
        <v>0.60078913440846227</v>
      </c>
      <c r="P23" s="73">
        <f t="shared" si="1"/>
        <v>12.132402647596582</v>
      </c>
      <c r="Q23" s="62">
        <f t="shared" si="8"/>
        <v>149508.72514905018</v>
      </c>
      <c r="R23" s="66">
        <f t="shared" si="9"/>
        <v>295.74520350307029</v>
      </c>
      <c r="V23" s="66"/>
      <c r="W23" s="66"/>
    </row>
    <row r="24" spans="1:23" x14ac:dyDescent="0.25">
      <c r="A24" s="41">
        <v>15</v>
      </c>
      <c r="B24" s="62">
        <f t="shared" si="10"/>
        <v>143970.62709637004</v>
      </c>
      <c r="C24" s="59">
        <f t="shared" si="2"/>
        <v>13761.077935877911</v>
      </c>
      <c r="D24" s="62">
        <f t="shared" si="3"/>
        <v>7918.3844903003519</v>
      </c>
      <c r="E24" s="62">
        <f t="shared" si="4"/>
        <v>5842.693445577559</v>
      </c>
      <c r="F24" s="62">
        <f t="shared" si="5"/>
        <v>138127.93365079249</v>
      </c>
      <c r="H24" s="41">
        <v>46</v>
      </c>
      <c r="I24" s="41">
        <f t="shared" si="0"/>
        <v>51</v>
      </c>
      <c r="J24" s="41">
        <f>'Q3 Base'!D47/'Q3 Base'!C47</f>
        <v>3.3507631253821878E-3</v>
      </c>
      <c r="K24" s="41">
        <f>'Q3 Base'!C48/'Q3 Base'!$C$33</f>
        <v>0.96923548371763235</v>
      </c>
      <c r="L24" s="41">
        <f t="shared" si="11"/>
        <v>3.2585973063475895E-3</v>
      </c>
      <c r="M24" s="41">
        <f t="shared" si="6"/>
        <v>0.59689061862480497</v>
      </c>
      <c r="N24" s="71"/>
      <c r="O24" s="72">
        <f t="shared" si="7"/>
        <v>0.57852756746932965</v>
      </c>
      <c r="P24" s="73">
        <f t="shared" si="1"/>
        <v>11.598381099623664</v>
      </c>
      <c r="Q24" s="62">
        <f t="shared" si="8"/>
        <v>143970.62709637004</v>
      </c>
      <c r="R24" s="66">
        <f t="shared" si="9"/>
        <v>280.02663626701553</v>
      </c>
      <c r="V24" s="66"/>
      <c r="W24" s="66"/>
    </row>
    <row r="25" spans="1:23" x14ac:dyDescent="0.25">
      <c r="A25" s="41">
        <v>16</v>
      </c>
      <c r="B25" s="62">
        <f t="shared" si="10"/>
        <v>138127.93365079249</v>
      </c>
      <c r="C25" s="59">
        <f t="shared" si="2"/>
        <v>13761.077935877911</v>
      </c>
      <c r="D25" s="62">
        <f t="shared" si="3"/>
        <v>7597.0363507935872</v>
      </c>
      <c r="E25" s="62">
        <f t="shared" si="4"/>
        <v>6164.0415850843237</v>
      </c>
      <c r="F25" s="62">
        <f t="shared" si="5"/>
        <v>131963.89206570818</v>
      </c>
      <c r="H25" s="41">
        <v>47</v>
      </c>
      <c r="I25" s="41">
        <f t="shared" si="0"/>
        <v>52</v>
      </c>
      <c r="J25" s="41">
        <f>'Q3 Base'!D48/'Q3 Base'!C48</f>
        <v>3.6395888767151888E-3</v>
      </c>
      <c r="K25" s="41">
        <f>'Q3 Base'!C49/'Q3 Base'!$C$33</f>
        <v>0.96570786503217598</v>
      </c>
      <c r="L25" s="41">
        <f t="shared" si="11"/>
        <v>3.5276186854563602E-3</v>
      </c>
      <c r="M25" s="41">
        <f t="shared" si="6"/>
        <v>0.57670591171478747</v>
      </c>
      <c r="N25" s="71"/>
      <c r="O25" s="72">
        <f t="shared" si="7"/>
        <v>0.55692943475352197</v>
      </c>
      <c r="P25" s="73">
        <f t="shared" si="1"/>
        <v>11.044683318832138</v>
      </c>
      <c r="Q25" s="62">
        <f t="shared" si="8"/>
        <v>138127.93365079249</v>
      </c>
      <c r="R25" s="66">
        <f t="shared" si="9"/>
        <v>281.007267958287</v>
      </c>
      <c r="V25" s="66"/>
      <c r="W25" s="66"/>
    </row>
    <row r="26" spans="1:23" x14ac:dyDescent="0.25">
      <c r="A26" s="41">
        <v>17</v>
      </c>
      <c r="B26" s="62">
        <f t="shared" si="10"/>
        <v>131963.89206570818</v>
      </c>
      <c r="C26" s="59">
        <f t="shared" si="2"/>
        <v>13761.077935877911</v>
      </c>
      <c r="D26" s="62">
        <f t="shared" si="3"/>
        <v>7258.0140636139495</v>
      </c>
      <c r="E26" s="62">
        <f t="shared" si="4"/>
        <v>6503.0638722639615</v>
      </c>
      <c r="F26" s="62">
        <f t="shared" si="5"/>
        <v>125460.82819344422</v>
      </c>
      <c r="H26" s="41">
        <v>48</v>
      </c>
      <c r="I26" s="41">
        <f t="shared" si="0"/>
        <v>53</v>
      </c>
      <c r="J26" s="41">
        <f>'Q3 Base'!D49/'Q3 Base'!C49</f>
        <v>3.8571018639342661E-3</v>
      </c>
      <c r="K26" s="41">
        <f>'Q3 Base'!C50/'Q3 Base'!$C$33</f>
        <v>0.96198303142594432</v>
      </c>
      <c r="L26" s="41">
        <f t="shared" si="11"/>
        <v>3.7248336062315865E-3</v>
      </c>
      <c r="M26" s="41">
        <f t="shared" si="6"/>
        <v>0.55720377943457733</v>
      </c>
      <c r="N26" s="71"/>
      <c r="O26" s="72">
        <f t="shared" si="7"/>
        <v>0.53602058086246795</v>
      </c>
      <c r="P26" s="73">
        <f t="shared" si="1"/>
        <v>10.473004253655374</v>
      </c>
      <c r="Q26" s="62">
        <f t="shared" si="8"/>
        <v>131963.89206570818</v>
      </c>
      <c r="R26" s="66">
        <f t="shared" si="9"/>
        <v>273.88991823098183</v>
      </c>
      <c r="V26" s="66"/>
      <c r="W26" s="66"/>
    </row>
    <row r="27" spans="1:23" x14ac:dyDescent="0.25">
      <c r="A27" s="41">
        <v>18</v>
      </c>
      <c r="B27" s="62">
        <f t="shared" si="10"/>
        <v>125460.82819344422</v>
      </c>
      <c r="C27" s="59">
        <f t="shared" si="2"/>
        <v>13761.077935877911</v>
      </c>
      <c r="D27" s="62">
        <f t="shared" si="3"/>
        <v>6900.3455506394321</v>
      </c>
      <c r="E27" s="62">
        <f t="shared" si="4"/>
        <v>6860.7323852384789</v>
      </c>
      <c r="F27" s="62">
        <f t="shared" si="5"/>
        <v>118600.09580820575</v>
      </c>
      <c r="H27" s="41">
        <v>49</v>
      </c>
      <c r="I27" s="41">
        <f t="shared" si="0"/>
        <v>54</v>
      </c>
      <c r="J27" s="41">
        <f>'Q3 Base'!D50/'Q3 Base'!C50</f>
        <v>4.2137179227043509E-3</v>
      </c>
      <c r="K27" s="41">
        <f>'Q3 Base'!C51/'Q3 Base'!$C$33</f>
        <v>0.95792950628508733</v>
      </c>
      <c r="L27" s="41">
        <f t="shared" si="11"/>
        <v>4.0535251408569646E-3</v>
      </c>
      <c r="M27" s="41">
        <f t="shared" si="6"/>
        <v>0.53836113955031628</v>
      </c>
      <c r="N27" s="71"/>
      <c r="O27" s="72">
        <f t="shared" si="7"/>
        <v>0.51571202061251142</v>
      </c>
      <c r="P27" s="73">
        <f t="shared" si="1"/>
        <v>9.8815305743942652</v>
      </c>
      <c r="Q27" s="62">
        <f t="shared" si="8"/>
        <v>125460.82819344422</v>
      </c>
      <c r="R27" s="66">
        <f t="shared" si="9"/>
        <v>273.78819887767264</v>
      </c>
      <c r="V27" s="66"/>
      <c r="W27" s="66"/>
    </row>
    <row r="28" spans="1:23" x14ac:dyDescent="0.25">
      <c r="A28" s="41">
        <v>19</v>
      </c>
      <c r="B28" s="62">
        <f t="shared" si="10"/>
        <v>118600.09580820575</v>
      </c>
      <c r="C28" s="59">
        <f t="shared" si="2"/>
        <v>13761.077935877911</v>
      </c>
      <c r="D28" s="62">
        <f t="shared" si="3"/>
        <v>6523.0052694513161</v>
      </c>
      <c r="E28" s="62">
        <f t="shared" si="4"/>
        <v>7238.0726664265949</v>
      </c>
      <c r="F28" s="62">
        <f t="shared" si="5"/>
        <v>111362.02314177915</v>
      </c>
      <c r="H28" s="41">
        <v>50</v>
      </c>
      <c r="I28" s="41">
        <f t="shared" si="0"/>
        <v>55</v>
      </c>
      <c r="J28" s="41">
        <f>'Q3 Base'!D51/'Q3 Base'!C51</f>
        <v>4.7636593603478166E-3</v>
      </c>
      <c r="K28" s="41">
        <f>'Q3 Base'!C52/'Q3 Base'!$C$33</f>
        <v>0.9533662564259191</v>
      </c>
      <c r="L28" s="41">
        <f t="shared" si="11"/>
        <v>4.5632498591683191E-3</v>
      </c>
      <c r="M28" s="41">
        <f t="shared" si="6"/>
        <v>0.52015569038677911</v>
      </c>
      <c r="N28" s="71"/>
      <c r="O28" s="72">
        <f t="shared" si="7"/>
        <v>0.49589888330268306</v>
      </c>
      <c r="P28" s="73">
        <f t="shared" si="1"/>
        <v>9.2706618162713212</v>
      </c>
      <c r="Q28" s="62">
        <f t="shared" si="8"/>
        <v>118600.09580820575</v>
      </c>
      <c r="R28" s="66">
        <f t="shared" si="9"/>
        <v>281.50923258549773</v>
      </c>
      <c r="V28" s="66"/>
      <c r="W28" s="66"/>
    </row>
    <row r="29" spans="1:23" x14ac:dyDescent="0.25">
      <c r="A29" s="41">
        <v>20</v>
      </c>
      <c r="B29" s="62">
        <f t="shared" si="10"/>
        <v>111362.02314177915</v>
      </c>
      <c r="C29" s="59">
        <f t="shared" si="2"/>
        <v>13761.077935877911</v>
      </c>
      <c r="D29" s="62">
        <f t="shared" si="3"/>
        <v>6124.9112727978536</v>
      </c>
      <c r="E29" s="62">
        <f t="shared" si="4"/>
        <v>7636.1666630800573</v>
      </c>
      <c r="F29" s="62">
        <f t="shared" si="5"/>
        <v>103725.85647869909</v>
      </c>
      <c r="H29" s="41">
        <v>51</v>
      </c>
      <c r="I29" s="41">
        <f t="shared" si="0"/>
        <v>56</v>
      </c>
      <c r="J29" s="41">
        <f>'Q3 Base'!D52/'Q3 Base'!C52</f>
        <v>5.2617118173167625E-3</v>
      </c>
      <c r="K29" s="41">
        <f>'Q3 Base'!C53/'Q3 Base'!$C$33</f>
        <v>0.94834991792825174</v>
      </c>
      <c r="L29" s="41">
        <f t="shared" si="11"/>
        <v>5.016338497667301E-3</v>
      </c>
      <c r="M29" s="41">
        <f t="shared" si="6"/>
        <v>0.50256588443167061</v>
      </c>
      <c r="N29" s="71"/>
      <c r="O29" s="72">
        <f t="shared" si="7"/>
        <v>0.47660831525431407</v>
      </c>
      <c r="P29" s="73">
        <f t="shared" si="1"/>
        <v>8.6410617137170558</v>
      </c>
      <c r="Q29" s="62">
        <f t="shared" si="8"/>
        <v>111362.02314177915</v>
      </c>
      <c r="R29" s="66">
        <f t="shared" si="9"/>
        <v>280.74818093573737</v>
      </c>
      <c r="V29" s="66"/>
      <c r="W29" s="66"/>
    </row>
    <row r="30" spans="1:23" x14ac:dyDescent="0.25">
      <c r="A30" s="41">
        <v>21</v>
      </c>
      <c r="B30" s="62">
        <f t="shared" si="10"/>
        <v>103725.85647869909</v>
      </c>
      <c r="C30" s="59">
        <f t="shared" si="2"/>
        <v>13761.077935877911</v>
      </c>
      <c r="D30" s="62">
        <f t="shared" si="3"/>
        <v>5704.9221063284504</v>
      </c>
      <c r="E30" s="62">
        <f t="shared" si="4"/>
        <v>8056.1558295494606</v>
      </c>
      <c r="F30" s="62">
        <f t="shared" si="5"/>
        <v>95669.700649149629</v>
      </c>
      <c r="H30" s="41">
        <v>52</v>
      </c>
      <c r="I30" s="41">
        <f t="shared" si="0"/>
        <v>57</v>
      </c>
      <c r="J30" s="41">
        <f>'Q3 Base'!D53/'Q3 Base'!C53</f>
        <v>5.7022562677362379E-3</v>
      </c>
      <c r="K30" s="41">
        <f>'Q3 Base'!C54/'Q3 Base'!$C$33</f>
        <v>0.94294218366473825</v>
      </c>
      <c r="L30" s="41">
        <f t="shared" si="11"/>
        <v>5.40773426351352E-3</v>
      </c>
      <c r="M30" s="41">
        <f t="shared" si="6"/>
        <v>0.48557090283253213</v>
      </c>
      <c r="N30" s="71"/>
      <c r="O30" s="72">
        <f t="shared" si="7"/>
        <v>0.45786528744096627</v>
      </c>
      <c r="P30" s="73">
        <f t="shared" si="1"/>
        <v>7.9908059033660956</v>
      </c>
      <c r="Q30" s="62">
        <f t="shared" si="8"/>
        <v>103725.85647869909</v>
      </c>
      <c r="R30" s="66">
        <f t="shared" si="9"/>
        <v>272.36733790801429</v>
      </c>
      <c r="V30" s="66"/>
      <c r="W30" s="66"/>
    </row>
    <row r="31" spans="1:23" x14ac:dyDescent="0.25">
      <c r="A31" s="41">
        <v>22</v>
      </c>
      <c r="B31" s="62">
        <f t="shared" si="10"/>
        <v>95669.700649149629</v>
      </c>
      <c r="C31" s="59">
        <f t="shared" si="2"/>
        <v>13761.077935877911</v>
      </c>
      <c r="D31" s="62">
        <f t="shared" si="3"/>
        <v>5261.8335357032292</v>
      </c>
      <c r="E31" s="62">
        <f t="shared" si="4"/>
        <v>8499.2444001746808</v>
      </c>
      <c r="F31" s="62">
        <f t="shared" si="5"/>
        <v>87170.456248974951</v>
      </c>
      <c r="H31" s="41">
        <v>53</v>
      </c>
      <c r="I31" s="41">
        <f t="shared" si="0"/>
        <v>58</v>
      </c>
      <c r="J31" s="41">
        <f>'Q3 Base'!D54/'Q3 Base'!C54</f>
        <v>6.1875772240527205E-3</v>
      </c>
      <c r="K31" s="41">
        <f>'Q3 Base'!C55/'Q3 Base'!$C$33</f>
        <v>0.93710765608549584</v>
      </c>
      <c r="L31" s="41">
        <f t="shared" si="11"/>
        <v>5.8345275792424716E-3</v>
      </c>
      <c r="M31" s="41">
        <f t="shared" si="6"/>
        <v>0.46915063075606966</v>
      </c>
      <c r="N31" s="71"/>
      <c r="O31" s="72">
        <f t="shared" si="7"/>
        <v>0.43964464793885238</v>
      </c>
      <c r="P31" s="73">
        <f t="shared" si="1"/>
        <v>7.3179149928865925</v>
      </c>
      <c r="Q31" s="62">
        <f t="shared" si="8"/>
        <v>95669.700649149629</v>
      </c>
      <c r="R31" s="66">
        <f t="shared" si="9"/>
        <v>261.8740209588704</v>
      </c>
      <c r="V31" s="66"/>
      <c r="W31" s="66"/>
    </row>
    <row r="32" spans="1:23" x14ac:dyDescent="0.25">
      <c r="A32" s="41">
        <v>23</v>
      </c>
      <c r="B32" s="62">
        <f t="shared" si="10"/>
        <v>87170.456248974951</v>
      </c>
      <c r="C32" s="59">
        <f t="shared" si="2"/>
        <v>13761.077935877911</v>
      </c>
      <c r="D32" s="62">
        <f t="shared" si="3"/>
        <v>4794.3750936936221</v>
      </c>
      <c r="E32" s="62">
        <f t="shared" si="4"/>
        <v>8966.7028421842879</v>
      </c>
      <c r="F32" s="62">
        <f t="shared" si="5"/>
        <v>78203.753406790667</v>
      </c>
      <c r="H32" s="41">
        <v>54</v>
      </c>
      <c r="I32" s="41">
        <f t="shared" si="0"/>
        <v>59</v>
      </c>
      <c r="J32" s="41">
        <f>'Q3 Base'!D55/'Q3 Base'!C55</f>
        <v>6.7786695849157627E-3</v>
      </c>
      <c r="K32" s="41">
        <f>'Q3 Base'!C56/'Q3 Base'!$C$33</f>
        <v>0.93075531291939739</v>
      </c>
      <c r="L32" s="41">
        <f t="shared" si="11"/>
        <v>6.3523431660984517E-3</v>
      </c>
      <c r="M32" s="41">
        <f t="shared" si="6"/>
        <v>0.45328563358074364</v>
      </c>
      <c r="N32" s="71"/>
      <c r="O32" s="72">
        <f t="shared" si="7"/>
        <v>0.42189801172531233</v>
      </c>
      <c r="P32" s="73">
        <f t="shared" si="1"/>
        <v>6.6211987735890609</v>
      </c>
      <c r="Q32" s="62">
        <f t="shared" si="8"/>
        <v>87170.456248974951</v>
      </c>
      <c r="R32" s="66">
        <f t="shared" si="9"/>
        <v>251.00086915631451</v>
      </c>
      <c r="V32" s="66"/>
      <c r="W32" s="66"/>
    </row>
    <row r="33" spans="1:23" x14ac:dyDescent="0.25">
      <c r="A33" s="41">
        <v>24</v>
      </c>
      <c r="B33" s="62">
        <f t="shared" si="10"/>
        <v>78203.753406790667</v>
      </c>
      <c r="C33" s="59">
        <f t="shared" si="2"/>
        <v>13761.077935877911</v>
      </c>
      <c r="D33" s="62">
        <f t="shared" si="3"/>
        <v>4301.2064373734866</v>
      </c>
      <c r="E33" s="62">
        <f t="shared" si="4"/>
        <v>9459.8714985044244</v>
      </c>
      <c r="F33" s="62">
        <f t="shared" si="5"/>
        <v>68743.881908286246</v>
      </c>
      <c r="H33" s="41">
        <v>55</v>
      </c>
      <c r="I33" s="41">
        <f t="shared" si="0"/>
        <v>60</v>
      </c>
      <c r="J33" s="41">
        <f>'Q3 Base'!D56/'Q3 Base'!C56</f>
        <v>7.7409372140884213E-3</v>
      </c>
      <c r="K33" s="41">
        <f>'Q3 Base'!C57/'Q3 Base'!$C$33</f>
        <v>0.9235503944804091</v>
      </c>
      <c r="L33" s="41">
        <f t="shared" si="11"/>
        <v>7.2049184389882765E-3</v>
      </c>
      <c r="M33" s="41">
        <f t="shared" si="6"/>
        <v>0.43795713389443841</v>
      </c>
      <c r="N33" s="71"/>
      <c r="O33" s="72">
        <f t="shared" si="7"/>
        <v>0.40447548377371795</v>
      </c>
      <c r="P33" s="73">
        <f t="shared" si="1"/>
        <v>5.8997115958038435</v>
      </c>
      <c r="Q33" s="62">
        <f t="shared" si="8"/>
        <v>78203.753406790667</v>
      </c>
      <c r="R33" s="66">
        <f t="shared" si="9"/>
        <v>246.76767625583386</v>
      </c>
      <c r="V33" s="66"/>
      <c r="W33" s="66"/>
    </row>
    <row r="34" spans="1:23" x14ac:dyDescent="0.25">
      <c r="A34" s="41">
        <v>25</v>
      </c>
      <c r="B34" s="62">
        <f t="shared" si="10"/>
        <v>68743.881908286246</v>
      </c>
      <c r="C34" s="59">
        <f t="shared" si="2"/>
        <v>13761.077935877911</v>
      </c>
      <c r="D34" s="62">
        <f t="shared" si="3"/>
        <v>3780.9135049557435</v>
      </c>
      <c r="E34" s="62">
        <f t="shared" si="4"/>
        <v>9980.1644309221665</v>
      </c>
      <c r="F34" s="62">
        <f t="shared" si="5"/>
        <v>58763.71747736408</v>
      </c>
      <c r="H34" s="41">
        <v>56</v>
      </c>
      <c r="I34" s="41">
        <f t="shared" si="0"/>
        <v>61</v>
      </c>
      <c r="J34" s="41">
        <f>'Q3 Base'!D57/'Q3 Base'!C57</f>
        <v>8.3390094811745374E-3</v>
      </c>
      <c r="K34" s="41">
        <f>'Q3 Base'!C58/'Q3 Base'!$C$33</f>
        <v>0.91584889898449451</v>
      </c>
      <c r="L34" s="41">
        <f t="shared" si="11"/>
        <v>7.7014954959146158E-3</v>
      </c>
      <c r="M34" s="41">
        <f t="shared" si="6"/>
        <v>0.42314698926998884</v>
      </c>
      <c r="N34" s="71"/>
      <c r="O34" s="72">
        <f t="shared" si="7"/>
        <v>0.38753870423152298</v>
      </c>
      <c r="P34" s="73">
        <f t="shared" si="1"/>
        <v>5.1538379750474936</v>
      </c>
      <c r="Q34" s="62">
        <f t="shared" si="8"/>
        <v>68743.881908286246</v>
      </c>
      <c r="R34" s="66">
        <f t="shared" si="9"/>
        <v>224.02700541541856</v>
      </c>
      <c r="V34" s="66"/>
      <c r="W34" s="66"/>
    </row>
    <row r="35" spans="1:23" x14ac:dyDescent="0.25">
      <c r="A35" s="41">
        <v>26</v>
      </c>
      <c r="B35" s="62">
        <f t="shared" si="10"/>
        <v>58763.71747736408</v>
      </c>
      <c r="C35" s="59">
        <f t="shared" si="2"/>
        <v>13761.077935877911</v>
      </c>
      <c r="D35" s="62">
        <f t="shared" si="3"/>
        <v>3232.0044612550246</v>
      </c>
      <c r="E35" s="62">
        <f t="shared" si="4"/>
        <v>10529.073474622886</v>
      </c>
      <c r="F35" s="62">
        <f t="shared" si="5"/>
        <v>48234.644002741195</v>
      </c>
      <c r="H35" s="41">
        <v>57</v>
      </c>
      <c r="I35" s="41">
        <f t="shared" si="0"/>
        <v>62</v>
      </c>
      <c r="J35" s="41">
        <f>'Q3 Base'!D58/'Q3 Base'!C58</f>
        <v>9.0772259909028992E-3</v>
      </c>
      <c r="K35" s="41">
        <f>'Q3 Base'!C59/'Q3 Base'!$C$33</f>
        <v>0.90753553155489264</v>
      </c>
      <c r="L35" s="41">
        <f t="shared" si="11"/>
        <v>8.3133674296018579E-3</v>
      </c>
      <c r="M35" s="41">
        <f t="shared" si="6"/>
        <v>0.40883767079225974</v>
      </c>
      <c r="N35" s="71"/>
      <c r="O35" s="72">
        <f t="shared" si="7"/>
        <v>0.37103471288211765</v>
      </c>
      <c r="P35" s="73">
        <f t="shared" si="1"/>
        <v>4.379078490708153</v>
      </c>
      <c r="Q35" s="62">
        <f t="shared" si="8"/>
        <v>58763.71747736408</v>
      </c>
      <c r="R35" s="66">
        <f t="shared" si="9"/>
        <v>199.72716756698304</v>
      </c>
      <c r="V35" s="66"/>
      <c r="W35" s="66"/>
    </row>
    <row r="36" spans="1:23" x14ac:dyDescent="0.25">
      <c r="A36" s="41">
        <v>27</v>
      </c>
      <c r="B36" s="62">
        <f t="shared" si="10"/>
        <v>48234.644002741195</v>
      </c>
      <c r="C36" s="59">
        <f t="shared" si="2"/>
        <v>13761.077935877911</v>
      </c>
      <c r="D36" s="62">
        <f t="shared" si="3"/>
        <v>2652.9054201507656</v>
      </c>
      <c r="E36" s="62">
        <f t="shared" si="4"/>
        <v>11108.172515727145</v>
      </c>
      <c r="F36" s="62">
        <f t="shared" si="5"/>
        <v>37126.471487014052</v>
      </c>
      <c r="H36" s="41">
        <v>58</v>
      </c>
      <c r="I36" s="41">
        <f t="shared" si="0"/>
        <v>63</v>
      </c>
      <c r="J36" s="41">
        <f>'Q3 Base'!D59/'Q3 Base'!C59</f>
        <v>1.0220172219541471E-2</v>
      </c>
      <c r="K36" s="41">
        <f>'Q3 Base'!C60/'Q3 Base'!$C$33</f>
        <v>0.89826036212704852</v>
      </c>
      <c r="L36" s="41">
        <f t="shared" si="11"/>
        <v>9.2751694278441158E-3</v>
      </c>
      <c r="M36" s="41">
        <f t="shared" si="6"/>
        <v>0.39501224231136206</v>
      </c>
      <c r="N36" s="71"/>
      <c r="O36" s="72">
        <f t="shared" si="7"/>
        <v>0.35482383982322152</v>
      </c>
      <c r="P36" s="73">
        <f t="shared" si="1"/>
        <v>3.573864237215854</v>
      </c>
      <c r="Q36" s="62">
        <f t="shared" si="8"/>
        <v>48234.644002741195</v>
      </c>
      <c r="R36" s="66">
        <f t="shared" si="9"/>
        <v>176.72235271007347</v>
      </c>
      <c r="V36" s="66"/>
      <c r="W36" s="66"/>
    </row>
    <row r="37" spans="1:23" x14ac:dyDescent="0.25">
      <c r="A37" s="41">
        <v>28</v>
      </c>
      <c r="B37" s="62">
        <f t="shared" si="10"/>
        <v>37126.471487014052</v>
      </c>
      <c r="C37" s="59">
        <f t="shared" si="2"/>
        <v>13761.077935877911</v>
      </c>
      <c r="D37" s="62">
        <f t="shared" si="3"/>
        <v>2041.9559317857729</v>
      </c>
      <c r="E37" s="62">
        <f t="shared" si="4"/>
        <v>11719.122004092138</v>
      </c>
      <c r="F37" s="62">
        <f t="shared" si="5"/>
        <v>25407.349482921913</v>
      </c>
      <c r="H37" s="41">
        <v>59</v>
      </c>
      <c r="I37" s="41">
        <f t="shared" si="0"/>
        <v>64</v>
      </c>
      <c r="J37" s="41">
        <f>'Q3 Base'!D60/'Q3 Base'!C60</f>
        <v>1.1154371000211676E-2</v>
      </c>
      <c r="K37" s="41">
        <f>'Q3 Base'!C61/'Q3 Base'!$C$33</f>
        <v>0.88824083279309896</v>
      </c>
      <c r="L37" s="41">
        <f t="shared" si="11"/>
        <v>1.0019529333949588E-2</v>
      </c>
      <c r="M37" s="41">
        <f t="shared" si="6"/>
        <v>0.38165434039745127</v>
      </c>
      <c r="N37" s="71"/>
      <c r="O37" s="72">
        <f t="shared" si="7"/>
        <v>0.33900096915373301</v>
      </c>
      <c r="P37" s="73">
        <f t="shared" si="1"/>
        <v>2.7371437381312913</v>
      </c>
      <c r="Q37" s="62">
        <f t="shared" si="8"/>
        <v>37126.471487014052</v>
      </c>
      <c r="R37" s="66">
        <f t="shared" si="9"/>
        <v>141.97151035363348</v>
      </c>
      <c r="V37" s="66"/>
      <c r="W37" s="66"/>
    </row>
    <row r="38" spans="1:23" x14ac:dyDescent="0.25">
      <c r="A38" s="41">
        <v>29</v>
      </c>
      <c r="B38" s="62">
        <f t="shared" si="10"/>
        <v>25407.349482921913</v>
      </c>
      <c r="C38" s="59">
        <f t="shared" si="2"/>
        <v>13761.077935877911</v>
      </c>
      <c r="D38" s="62">
        <f t="shared" si="3"/>
        <v>1397.4042215607053</v>
      </c>
      <c r="E38" s="62">
        <f t="shared" si="4"/>
        <v>12363.673714317205</v>
      </c>
      <c r="F38" s="62">
        <f t="shared" si="5"/>
        <v>13043.675768604708</v>
      </c>
      <c r="H38" s="41">
        <v>60</v>
      </c>
      <c r="I38" s="41">
        <f t="shared" si="0"/>
        <v>65</v>
      </c>
      <c r="J38" s="41">
        <f>'Q3 Base'!D61/'Q3 Base'!C61</f>
        <v>1.1978161488844487E-2</v>
      </c>
      <c r="K38" s="41">
        <f>'Q3 Base'!C62/'Q3 Base'!$C$33</f>
        <v>0.87760134065691753</v>
      </c>
      <c r="L38" s="41">
        <f t="shared" si="11"/>
        <v>1.0639492136181454E-2</v>
      </c>
      <c r="M38" s="41">
        <f t="shared" si="6"/>
        <v>0.36874815497338298</v>
      </c>
      <c r="N38" s="71"/>
      <c r="O38" s="72">
        <f t="shared" si="7"/>
        <v>0.32361387516940571</v>
      </c>
      <c r="P38" s="73">
        <f t="shared" si="1"/>
        <v>1.864899925614671</v>
      </c>
      <c r="Q38" s="62">
        <f t="shared" si="8"/>
        <v>25407.349482921913</v>
      </c>
      <c r="R38" s="66">
        <f t="shared" si="9"/>
        <v>99.680478790396393</v>
      </c>
      <c r="V38" s="66"/>
      <c r="W38" s="66"/>
    </row>
    <row r="39" spans="1:23" x14ac:dyDescent="0.25">
      <c r="A39" s="41">
        <v>30</v>
      </c>
      <c r="B39" s="62">
        <f t="shared" si="10"/>
        <v>13043.675768604708</v>
      </c>
      <c r="C39" s="59">
        <f t="shared" si="2"/>
        <v>13761.077935877911</v>
      </c>
      <c r="D39" s="62">
        <f t="shared" si="3"/>
        <v>717.4021672732589</v>
      </c>
      <c r="E39" s="62">
        <f t="shared" si="4"/>
        <v>13043.675768604651</v>
      </c>
      <c r="F39" s="62">
        <f t="shared" si="5"/>
        <v>5.6388671509921551E-11</v>
      </c>
      <c r="H39" s="41">
        <v>61</v>
      </c>
      <c r="I39" s="41">
        <f t="shared" si="0"/>
        <v>66</v>
      </c>
      <c r="J39" s="41">
        <f>'Q3 Base'!D62/'Q3 Base'!C62</f>
        <v>1.3053373975073328E-2</v>
      </c>
      <c r="K39" s="41">
        <f>'Q3 Base'!C63/'Q3 Base'!$C$33</f>
        <v>0.86614568215629706</v>
      </c>
      <c r="L39" s="41">
        <f t="shared" si="11"/>
        <v>1.1455658500620469E-2</v>
      </c>
      <c r="M39" s="41">
        <f t="shared" si="6"/>
        <v>0.35627841060230236</v>
      </c>
      <c r="N39" s="77"/>
      <c r="O39" s="78">
        <f t="shared" si="7"/>
        <v>0.30858900698869246</v>
      </c>
      <c r="P39" s="79">
        <f>(1+P40)*(1-J39)/(1+$M$8)</f>
        <v>0.95357161934775525</v>
      </c>
      <c r="Q39" s="62">
        <f t="shared" si="8"/>
        <v>13043.675768604708</v>
      </c>
      <c r="R39" s="66">
        <f t="shared" si="9"/>
        <v>53.236507887131964</v>
      </c>
      <c r="V39" s="66"/>
      <c r="W39" s="66"/>
    </row>
  </sheetData>
  <mergeCells count="2">
    <mergeCell ref="N1:P1"/>
    <mergeCell ref="N4:P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E95F09-E724-4DA8-AFD0-5EC505CD2D7B}"/>
</file>

<file path=customXml/itemProps2.xml><?xml version="1.0" encoding="utf-8"?>
<ds:datastoreItem xmlns:ds="http://schemas.openxmlformats.org/officeDocument/2006/customXml" ds:itemID="{51FDA705-55EA-4498-8187-044130213797}"/>
</file>

<file path=customXml/itemProps3.xml><?xml version="1.0" encoding="utf-8"?>
<ds:datastoreItem xmlns:ds="http://schemas.openxmlformats.org/officeDocument/2006/customXml" ds:itemID="{C5BB93D4-D4B4-4F60-9A85-F4A13AC577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Q1 Base</vt:lpstr>
      <vt:lpstr>Q1 (i) (ii) (iii)</vt:lpstr>
      <vt:lpstr>Q1 (iv)</vt:lpstr>
      <vt:lpstr>Q1 Answers</vt:lpstr>
      <vt:lpstr>Q2 (i)</vt:lpstr>
      <vt:lpstr>Q2 (ii) and (iii)</vt:lpstr>
      <vt:lpstr>Q2 Answers</vt:lpstr>
      <vt:lpstr>Q3 Base</vt:lpstr>
      <vt:lpstr>Q3 (i) and (ii)</vt:lpstr>
      <vt:lpstr>Q3 (iii)</vt:lpstr>
      <vt:lpstr>Q3 Answers</vt:lpstr>
      <vt:lpstr>Q4 Base</vt:lpstr>
      <vt:lpstr>Q4 (i)</vt:lpstr>
      <vt:lpstr>Q4 (ii)</vt:lpstr>
      <vt:lpstr>Q4 (iii)</vt:lpstr>
      <vt:lpstr>Q4 (iv)</vt:lpstr>
      <vt:lpstr>Q4 Answers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Steve Laye</cp:lastModifiedBy>
  <dcterms:created xsi:type="dcterms:W3CDTF">2022-09-08T14:06:02Z</dcterms:created>
  <dcterms:modified xsi:type="dcterms:W3CDTF">2024-07-10T07:31:17Z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