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Q:\Assessment\Z. April 2023\9. Examiner Reports\CM1B\"/>
    </mc:Choice>
  </mc:AlternateContent>
  <xr:revisionPtr revIDLastSave="0" documentId="8_{416B8B5B-718A-4EBB-B061-718816A18ABF}" xr6:coauthVersionLast="47" xr6:coauthVersionMax="47" xr10:uidLastSave="{00000000-0000-0000-0000-000000000000}"/>
  <bookViews>
    <workbookView xWindow="-120" yWindow="-120" windowWidth="29040" windowHeight="15840" firstSheet="9" activeTab="6" xr2:uid="{00000000-000D-0000-FFFF-FFFF00000000}"/>
  </bookViews>
  <sheets>
    <sheet name="Q1 Base" sheetId="23" r:id="rId1"/>
    <sheet name="Q1 (i) (ii)" sheetId="24" r:id="rId2"/>
    <sheet name="Q1 (iii)" sheetId="25" r:id="rId3"/>
    <sheet name="Q1 (iv)" sheetId="26" r:id="rId4"/>
    <sheet name="Q1 (v)" sheetId="27" r:id="rId5"/>
    <sheet name="Q1 Answers" sheetId="28" r:id="rId6"/>
    <sheet name="Q2 Base" sheetId="11" r:id="rId7"/>
    <sheet name="Q2 (i)" sheetId="12" r:id="rId8"/>
    <sheet name="Q2 (ii)" sheetId="45" r:id="rId9"/>
    <sheet name="Q2 (iii)" sheetId="44" r:id="rId10"/>
    <sheet name="Q2 Answers" sheetId="15" r:id="rId11"/>
    <sheet name="Q3 Base" sheetId="36" r:id="rId12"/>
    <sheet name="Q3 (i)" sheetId="37" r:id="rId13"/>
    <sheet name="Q3(ii)" sheetId="38" r:id="rId14"/>
    <sheet name="Q3 (iii)" sheetId="39" r:id="rId15"/>
    <sheet name="Q3 (iv)" sheetId="50" r:id="rId16"/>
    <sheet name="Q3 (v)" sheetId="41" r:id="rId17"/>
    <sheet name="Q3 Answers" sheetId="42" r:id="rId18"/>
  </sheets>
  <definedNames>
    <definedName name="solver_adj" localSheetId="2" hidden="1">'Q1 (iii)'!$D$11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'Q1 (iii)'!$H$34</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7" l="1"/>
  <c r="N59" i="37" s="1"/>
  <c r="J5" i="37"/>
  <c r="J39" i="37" s="1"/>
  <c r="F5" i="37"/>
  <c r="F29" i="37" s="1"/>
  <c r="M39" i="50" l="1"/>
  <c r="C39" i="50"/>
  <c r="M38" i="50"/>
  <c r="C38" i="50"/>
  <c r="M37" i="50"/>
  <c r="C37" i="50"/>
  <c r="M36" i="50"/>
  <c r="C36" i="50"/>
  <c r="M35" i="50"/>
  <c r="C35" i="50"/>
  <c r="M34" i="50"/>
  <c r="C34" i="50"/>
  <c r="M33" i="50"/>
  <c r="C33" i="50"/>
  <c r="M32" i="50"/>
  <c r="C32" i="50"/>
  <c r="M31" i="50"/>
  <c r="C31" i="50"/>
  <c r="M30" i="50"/>
  <c r="C30" i="50"/>
  <c r="M29" i="50"/>
  <c r="J29" i="50"/>
  <c r="C29" i="50"/>
  <c r="M28" i="50"/>
  <c r="C28" i="50"/>
  <c r="M27" i="50"/>
  <c r="C27" i="50"/>
  <c r="M26" i="50"/>
  <c r="C26" i="50"/>
  <c r="M25" i="50"/>
  <c r="C25" i="50"/>
  <c r="M24" i="50"/>
  <c r="C24" i="50"/>
  <c r="M23" i="50"/>
  <c r="C23" i="50"/>
  <c r="M22" i="50"/>
  <c r="C22" i="50"/>
  <c r="M21" i="50"/>
  <c r="C21" i="50"/>
  <c r="M20" i="50"/>
  <c r="C20" i="50"/>
  <c r="M19" i="50"/>
  <c r="C19" i="50"/>
  <c r="M18" i="50"/>
  <c r="C18" i="50"/>
  <c r="M17" i="50"/>
  <c r="C17" i="50"/>
  <c r="M16" i="50"/>
  <c r="C16" i="50"/>
  <c r="M15" i="50"/>
  <c r="C15" i="50"/>
  <c r="M14" i="50"/>
  <c r="C14" i="50"/>
  <c r="M13" i="50"/>
  <c r="C13" i="50"/>
  <c r="M12" i="50"/>
  <c r="C12" i="50"/>
  <c r="M11" i="50"/>
  <c r="H11" i="50"/>
  <c r="H12" i="50" s="1"/>
  <c r="H13" i="50" s="1"/>
  <c r="H14" i="50" s="1"/>
  <c r="H15" i="50" s="1"/>
  <c r="H16" i="50" s="1"/>
  <c r="H17" i="50" s="1"/>
  <c r="H18" i="50" s="1"/>
  <c r="H19" i="50" s="1"/>
  <c r="H20" i="50" s="1"/>
  <c r="H21" i="50" s="1"/>
  <c r="H22" i="50" s="1"/>
  <c r="H23" i="50" s="1"/>
  <c r="H24" i="50" s="1"/>
  <c r="H25" i="50" s="1"/>
  <c r="H26" i="50" s="1"/>
  <c r="H27" i="50" s="1"/>
  <c r="H28" i="50" s="1"/>
  <c r="H29" i="50" s="1"/>
  <c r="H30" i="50" s="1"/>
  <c r="H31" i="50" s="1"/>
  <c r="H32" i="50" s="1"/>
  <c r="H33" i="50" s="1"/>
  <c r="H34" i="50" s="1"/>
  <c r="H35" i="50" s="1"/>
  <c r="H36" i="50" s="1"/>
  <c r="H37" i="50" s="1"/>
  <c r="H38" i="50" s="1"/>
  <c r="H39" i="50" s="1"/>
  <c r="C11" i="50"/>
  <c r="M10" i="50"/>
  <c r="C10" i="50"/>
  <c r="B10" i="50"/>
  <c r="E5" i="50"/>
  <c r="E14" i="50" s="1"/>
  <c r="D10" i="50" l="1"/>
  <c r="E11" i="50"/>
  <c r="E22" i="50"/>
  <c r="E20" i="50"/>
  <c r="E28" i="50"/>
  <c r="E18" i="50"/>
  <c r="E26" i="50"/>
  <c r="E16" i="50"/>
  <c r="E24" i="50"/>
  <c r="I10" i="50"/>
  <c r="E13" i="50"/>
  <c r="E10" i="50"/>
  <c r="E17" i="50"/>
  <c r="E19" i="50"/>
  <c r="E21" i="50"/>
  <c r="E23" i="50"/>
  <c r="E25" i="50"/>
  <c r="E27" i="50"/>
  <c r="E29" i="50"/>
  <c r="E15" i="50"/>
  <c r="E12" i="50"/>
  <c r="F10" i="50" l="1"/>
  <c r="G10" i="50"/>
  <c r="N10" i="50"/>
  <c r="K10" i="50"/>
  <c r="L10" i="50" l="1"/>
  <c r="O10" i="50"/>
  <c r="I23" i="45" l="1"/>
  <c r="I22" i="45"/>
  <c r="I21" i="45"/>
  <c r="I20" i="45"/>
  <c r="I19" i="45"/>
  <c r="I18" i="45"/>
  <c r="I17" i="45"/>
  <c r="I16" i="45"/>
  <c r="I15" i="45"/>
  <c r="I14" i="45"/>
  <c r="I13" i="45"/>
  <c r="I12" i="45"/>
  <c r="I11" i="45"/>
  <c r="I10" i="45"/>
  <c r="I9" i="45"/>
  <c r="H23" i="45"/>
  <c r="H22" i="45"/>
  <c r="H21" i="45"/>
  <c r="H20" i="45"/>
  <c r="H19" i="45"/>
  <c r="H18" i="45"/>
  <c r="H17" i="45"/>
  <c r="H16" i="45"/>
  <c r="H15" i="45"/>
  <c r="H14" i="45"/>
  <c r="H13" i="45"/>
  <c r="H12" i="45"/>
  <c r="H11" i="45"/>
  <c r="H10" i="45"/>
  <c r="H9" i="45"/>
  <c r="F12" i="26"/>
  <c r="F12" i="25"/>
  <c r="F12" i="24"/>
  <c r="D10" i="44" l="1"/>
  <c r="D11" i="44" s="1"/>
  <c r="D12" i="44" s="1"/>
  <c r="D13" i="44" s="1"/>
  <c r="D14" i="44" s="1"/>
  <c r="D15" i="44" s="1"/>
  <c r="D16" i="44" s="1"/>
  <c r="D17" i="44" s="1"/>
  <c r="D18" i="44" s="1"/>
  <c r="D19" i="44" s="1"/>
  <c r="D20" i="44" s="1"/>
  <c r="D21" i="44" s="1"/>
  <c r="D22" i="44" s="1"/>
  <c r="D23" i="44" s="1"/>
  <c r="F23" i="44" l="1"/>
  <c r="F22" i="44"/>
  <c r="F21" i="44"/>
  <c r="F20" i="44"/>
  <c r="F19" i="44"/>
  <c r="F18" i="44"/>
  <c r="F17" i="44"/>
  <c r="F16" i="44"/>
  <c r="F15" i="44"/>
  <c r="F14" i="44"/>
  <c r="F13" i="44"/>
  <c r="F12" i="44"/>
  <c r="F11" i="44"/>
  <c r="F10" i="44"/>
  <c r="F9" i="44"/>
  <c r="M23" i="45"/>
  <c r="D23" i="45"/>
  <c r="D22" i="45"/>
  <c r="D21" i="45"/>
  <c r="D20" i="45"/>
  <c r="D19" i="45"/>
  <c r="D18" i="45"/>
  <c r="D17" i="45"/>
  <c r="D16" i="45"/>
  <c r="D15" i="45"/>
  <c r="D14" i="45"/>
  <c r="D13" i="45"/>
  <c r="D12" i="45"/>
  <c r="D11" i="45"/>
  <c r="D10" i="45"/>
  <c r="D9" i="45"/>
  <c r="K39" i="39"/>
  <c r="C39" i="39"/>
  <c r="K38" i="39"/>
  <c r="C38" i="39"/>
  <c r="K37" i="39"/>
  <c r="C37" i="39"/>
  <c r="K36" i="39"/>
  <c r="C36" i="39"/>
  <c r="K35" i="39"/>
  <c r="C35" i="39"/>
  <c r="K34" i="39"/>
  <c r="C34" i="39"/>
  <c r="K33" i="39"/>
  <c r="C33" i="39"/>
  <c r="K32" i="39"/>
  <c r="C32" i="39"/>
  <c r="K31" i="39"/>
  <c r="C31" i="39"/>
  <c r="K30" i="39"/>
  <c r="C30" i="39"/>
  <c r="K29" i="39"/>
  <c r="I29" i="39"/>
  <c r="C29" i="39"/>
  <c r="K28" i="39"/>
  <c r="C28" i="39"/>
  <c r="K27" i="39"/>
  <c r="C27" i="39"/>
  <c r="K26" i="39"/>
  <c r="C26" i="39"/>
  <c r="K25" i="39"/>
  <c r="C25" i="39"/>
  <c r="K24" i="39"/>
  <c r="C24" i="39"/>
  <c r="K23" i="39"/>
  <c r="C23" i="39"/>
  <c r="K22" i="39"/>
  <c r="C22" i="39"/>
  <c r="K21" i="39"/>
  <c r="C21" i="39"/>
  <c r="K20" i="39"/>
  <c r="C20" i="39"/>
  <c r="K19" i="39"/>
  <c r="C19" i="39"/>
  <c r="K18" i="39"/>
  <c r="C18" i="39"/>
  <c r="K17" i="39"/>
  <c r="C17" i="39"/>
  <c r="K16" i="39"/>
  <c r="C16" i="39"/>
  <c r="K15" i="39"/>
  <c r="C15" i="39"/>
  <c r="K14" i="39"/>
  <c r="C14" i="39"/>
  <c r="K13" i="39"/>
  <c r="C13" i="39"/>
  <c r="K12" i="39"/>
  <c r="C12" i="39"/>
  <c r="K11" i="39"/>
  <c r="G11" i="39"/>
  <c r="G12" i="39" s="1"/>
  <c r="G13" i="39" s="1"/>
  <c r="G14" i="39" s="1"/>
  <c r="G15" i="39" s="1"/>
  <c r="G16" i="39" s="1"/>
  <c r="C11" i="39"/>
  <c r="K10" i="39"/>
  <c r="C10" i="39"/>
  <c r="B10" i="39"/>
  <c r="E5" i="39"/>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B10" i="37"/>
  <c r="N53" i="37"/>
  <c r="J17" i="37"/>
  <c r="F18" i="37"/>
  <c r="I7" i="36"/>
  <c r="I8" i="36" s="1"/>
  <c r="I9" i="36" s="1"/>
  <c r="I10" i="36" s="1"/>
  <c r="I11" i="36" s="1"/>
  <c r="I12" i="36" s="1"/>
  <c r="I13" i="36" s="1"/>
  <c r="I14" i="36" s="1"/>
  <c r="I15" i="36" s="1"/>
  <c r="I16" i="36" s="1"/>
  <c r="I17" i="36" s="1"/>
  <c r="I18" i="36" s="1"/>
  <c r="I19" i="36" s="1"/>
  <c r="I20" i="36" s="1"/>
  <c r="I21" i="36" s="1"/>
  <c r="I22" i="36" s="1"/>
  <c r="I23" i="36" s="1"/>
  <c r="I24" i="36" s="1"/>
  <c r="I25" i="36" s="1"/>
  <c r="I26" i="36" s="1"/>
  <c r="I27" i="36" s="1"/>
  <c r="I28" i="36" s="1"/>
  <c r="I29" i="36" s="1"/>
  <c r="I30" i="36" s="1"/>
  <c r="I31" i="36" s="1"/>
  <c r="I32" i="36" s="1"/>
  <c r="I33" i="36" s="1"/>
  <c r="I34" i="36" s="1"/>
  <c r="I35" i="36" s="1"/>
  <c r="B7" i="36"/>
  <c r="B11" i="39" l="1"/>
  <c r="B11" i="50"/>
  <c r="J10" i="37"/>
  <c r="J16" i="37"/>
  <c r="J31" i="37"/>
  <c r="D10" i="37"/>
  <c r="J19" i="37"/>
  <c r="F27" i="37"/>
  <c r="N57" i="37"/>
  <c r="N31" i="37"/>
  <c r="N19" i="37"/>
  <c r="B8" i="36"/>
  <c r="J11" i="37"/>
  <c r="N16" i="37"/>
  <c r="N38" i="37"/>
  <c r="N45" i="37"/>
  <c r="J35" i="37"/>
  <c r="H10" i="39"/>
  <c r="M20" i="45"/>
  <c r="M16" i="45"/>
  <c r="M13" i="45"/>
  <c r="M17" i="45"/>
  <c r="M22" i="45"/>
  <c r="M15" i="45"/>
  <c r="M18" i="45"/>
  <c r="M9" i="45"/>
  <c r="M10" i="45"/>
  <c r="M14" i="45"/>
  <c r="J23" i="45"/>
  <c r="M19" i="45"/>
  <c r="N12" i="37"/>
  <c r="J15" i="37"/>
  <c r="J18" i="37"/>
  <c r="F22" i="37"/>
  <c r="N29" i="37"/>
  <c r="N33" i="37"/>
  <c r="N43" i="37"/>
  <c r="N55" i="37"/>
  <c r="F10" i="37"/>
  <c r="N15" i="37"/>
  <c r="J22" i="37"/>
  <c r="J38" i="37"/>
  <c r="N49" i="37"/>
  <c r="J14" i="37"/>
  <c r="F14" i="37"/>
  <c r="F11" i="37"/>
  <c r="F24" i="37"/>
  <c r="F28" i="37"/>
  <c r="J28" i="37"/>
  <c r="N36" i="37"/>
  <c r="N11" i="37"/>
  <c r="J21" i="37"/>
  <c r="J25" i="37"/>
  <c r="N28" i="37"/>
  <c r="N47" i="37"/>
  <c r="F15" i="37"/>
  <c r="N25" i="37"/>
  <c r="J33" i="37"/>
  <c r="J37" i="37"/>
  <c r="G17" i="39"/>
  <c r="E28" i="39"/>
  <c r="E19" i="39"/>
  <c r="E10" i="39"/>
  <c r="E29" i="39"/>
  <c r="E20" i="39"/>
  <c r="E12" i="39"/>
  <c r="E11" i="39"/>
  <c r="E23" i="39"/>
  <c r="E16" i="39"/>
  <c r="E13" i="39"/>
  <c r="E18" i="39"/>
  <c r="E24" i="39"/>
  <c r="E17" i="39"/>
  <c r="E26" i="39"/>
  <c r="E15" i="39"/>
  <c r="E21" i="39"/>
  <c r="E25" i="39"/>
  <c r="E14" i="39"/>
  <c r="E22" i="39"/>
  <c r="H11" i="39"/>
  <c r="D11" i="39"/>
  <c r="F11" i="39" s="1"/>
  <c r="E27" i="39"/>
  <c r="F25" i="37"/>
  <c r="F21" i="37"/>
  <c r="F17" i="37"/>
  <c r="F12" i="37"/>
  <c r="N10" i="37"/>
  <c r="B12" i="37"/>
  <c r="D12" i="37" s="1"/>
  <c r="N14" i="37"/>
  <c r="N21" i="37"/>
  <c r="J24" i="37"/>
  <c r="J27" i="37"/>
  <c r="J30" i="37"/>
  <c r="N37" i="37"/>
  <c r="N41" i="37"/>
  <c r="F13" i="37"/>
  <c r="F20" i="37"/>
  <c r="F23" i="37"/>
  <c r="N24" i="37"/>
  <c r="N27" i="37"/>
  <c r="N30" i="37"/>
  <c r="N32" i="37"/>
  <c r="N39" i="37"/>
  <c r="D10" i="39"/>
  <c r="F10" i="39" s="1"/>
  <c r="J32" i="37"/>
  <c r="J13" i="37"/>
  <c r="N58" i="37"/>
  <c r="N56" i="37"/>
  <c r="N54" i="37"/>
  <c r="N52" i="37"/>
  <c r="N50" i="37"/>
  <c r="N48" i="37"/>
  <c r="N46" i="37"/>
  <c r="N44" i="37"/>
  <c r="N42" i="37"/>
  <c r="N40" i="37"/>
  <c r="N35" i="37"/>
  <c r="N26" i="37"/>
  <c r="N22" i="37"/>
  <c r="N18" i="37"/>
  <c r="B11" i="37"/>
  <c r="D11" i="37" s="1"/>
  <c r="N13" i="37"/>
  <c r="N17" i="37"/>
  <c r="J20" i="37"/>
  <c r="J23" i="37"/>
  <c r="F26" i="37"/>
  <c r="J34" i="37"/>
  <c r="B12" i="39"/>
  <c r="J12" i="37"/>
  <c r="F16" i="37"/>
  <c r="F19" i="37"/>
  <c r="N20" i="37"/>
  <c r="N23" i="37"/>
  <c r="J26" i="37"/>
  <c r="J29" i="37"/>
  <c r="N34" i="37"/>
  <c r="J36" i="37"/>
  <c r="N51" i="37"/>
  <c r="B9" i="36" l="1"/>
  <c r="B12" i="50"/>
  <c r="I11" i="50"/>
  <c r="D11" i="50"/>
  <c r="L10" i="39"/>
  <c r="J10" i="39"/>
  <c r="J11" i="39"/>
  <c r="L11" i="39"/>
  <c r="O12" i="37"/>
  <c r="P12" i="37" s="1"/>
  <c r="O11" i="37"/>
  <c r="P11" i="37" s="1"/>
  <c r="O10" i="37"/>
  <c r="K12" i="37"/>
  <c r="L12" i="37" s="1"/>
  <c r="G10" i="37"/>
  <c r="H10" i="37" s="1"/>
  <c r="K11" i="37"/>
  <c r="L11" i="37" s="1"/>
  <c r="K10" i="37"/>
  <c r="G12" i="37"/>
  <c r="H12" i="37" s="1"/>
  <c r="G11" i="37"/>
  <c r="H11" i="37" s="1"/>
  <c r="M21" i="45"/>
  <c r="M11" i="45"/>
  <c r="M12" i="45"/>
  <c r="H12" i="39"/>
  <c r="D12" i="39"/>
  <c r="F12" i="39" s="1"/>
  <c r="G18" i="39"/>
  <c r="F11" i="50" l="1"/>
  <c r="K11" i="50"/>
  <c r="N11" i="50"/>
  <c r="I12" i="50"/>
  <c r="D12" i="50"/>
  <c r="B13" i="37"/>
  <c r="D13" i="37" s="1"/>
  <c r="B13" i="50"/>
  <c r="B13" i="39"/>
  <c r="B10" i="36"/>
  <c r="L12" i="39"/>
  <c r="J12" i="39"/>
  <c r="P10" i="37"/>
  <c r="L10" i="37"/>
  <c r="G19" i="39"/>
  <c r="B14" i="50" l="1"/>
  <c r="B14" i="37"/>
  <c r="D14" i="37" s="1"/>
  <c r="O14" i="37" s="1"/>
  <c r="P14" i="37" s="1"/>
  <c r="B11" i="36"/>
  <c r="B14" i="39"/>
  <c r="D13" i="39"/>
  <c r="F13" i="39" s="1"/>
  <c r="H13" i="39"/>
  <c r="I13" i="50"/>
  <c r="D13" i="50"/>
  <c r="F13" i="50" s="1"/>
  <c r="G13" i="50" s="1"/>
  <c r="O13" i="37"/>
  <c r="P13" i="37" s="1"/>
  <c r="G13" i="37"/>
  <c r="H13" i="37" s="1"/>
  <c r="K13" i="37"/>
  <c r="L13" i="37" s="1"/>
  <c r="F12" i="50"/>
  <c r="G12" i="50" s="1"/>
  <c r="K12" i="50"/>
  <c r="L12" i="50" s="1"/>
  <c r="N12" i="50"/>
  <c r="O12" i="50" s="1"/>
  <c r="O11" i="50"/>
  <c r="L11" i="50"/>
  <c r="G11" i="50"/>
  <c r="G14" i="37"/>
  <c r="H14" i="37" s="1"/>
  <c r="K14" i="37"/>
  <c r="G20" i="39"/>
  <c r="K13" i="50" l="1"/>
  <c r="N13" i="50"/>
  <c r="L13" i="39"/>
  <c r="J13" i="39"/>
  <c r="H14" i="39"/>
  <c r="D14" i="39"/>
  <c r="F14" i="39" s="1"/>
  <c r="B15" i="50"/>
  <c r="B15" i="39"/>
  <c r="B15" i="37"/>
  <c r="D15" i="37" s="1"/>
  <c r="B12" i="36"/>
  <c r="I14" i="50"/>
  <c r="D14" i="50"/>
  <c r="L14" i="37"/>
  <c r="G21" i="39"/>
  <c r="F14" i="50" l="1"/>
  <c r="K14" i="50"/>
  <c r="L14" i="50" s="1"/>
  <c r="N14" i="50"/>
  <c r="O14" i="50" s="1"/>
  <c r="B16" i="50"/>
  <c r="B16" i="39"/>
  <c r="B13" i="36"/>
  <c r="B16" i="37"/>
  <c r="D16" i="37" s="1"/>
  <c r="O16" i="37" s="1"/>
  <c r="O15" i="37"/>
  <c r="P15" i="37" s="1"/>
  <c r="G15" i="37"/>
  <c r="H15" i="37" s="1"/>
  <c r="K15" i="37"/>
  <c r="L15" i="37" s="1"/>
  <c r="D15" i="39"/>
  <c r="F15" i="39" s="1"/>
  <c r="H15" i="39"/>
  <c r="I15" i="50"/>
  <c r="D15" i="50"/>
  <c r="J14" i="39"/>
  <c r="L14" i="39"/>
  <c r="O13" i="50"/>
  <c r="L13" i="50"/>
  <c r="P16" i="37"/>
  <c r="G16" i="37"/>
  <c r="H16" i="37" s="1"/>
  <c r="K16" i="37"/>
  <c r="G22" i="39"/>
  <c r="F15" i="50" l="1"/>
  <c r="G15" i="50" s="1"/>
  <c r="K15" i="50"/>
  <c r="N15" i="50"/>
  <c r="J15" i="39"/>
  <c r="L15" i="39"/>
  <c r="B17" i="50"/>
  <c r="B17" i="39"/>
  <c r="B14" i="36"/>
  <c r="B17" i="37"/>
  <c r="D17" i="37" s="1"/>
  <c r="O17" i="37" s="1"/>
  <c r="P17" i="37" s="1"/>
  <c r="H16" i="39"/>
  <c r="D16" i="39"/>
  <c r="F16" i="39" s="1"/>
  <c r="I16" i="50"/>
  <c r="D16" i="50"/>
  <c r="G14" i="50"/>
  <c r="G17" i="37"/>
  <c r="H17" i="37" s="1"/>
  <c r="K17" i="37"/>
  <c r="L17" i="37" s="1"/>
  <c r="L16" i="37"/>
  <c r="G23" i="39"/>
  <c r="F16" i="50" l="1"/>
  <c r="K16" i="50"/>
  <c r="L16" i="50" s="1"/>
  <c r="N16" i="50"/>
  <c r="O16" i="50" s="1"/>
  <c r="L16" i="39"/>
  <c r="J16" i="39"/>
  <c r="B18" i="50"/>
  <c r="B18" i="37"/>
  <c r="D18" i="37" s="1"/>
  <c r="O18" i="37" s="1"/>
  <c r="P18" i="37" s="1"/>
  <c r="B18" i="39"/>
  <c r="B15" i="36"/>
  <c r="D17" i="39"/>
  <c r="F17" i="39" s="1"/>
  <c r="H17" i="39"/>
  <c r="I17" i="50"/>
  <c r="D17" i="50"/>
  <c r="O15" i="50"/>
  <c r="L15" i="50"/>
  <c r="G18" i="37"/>
  <c r="H18" i="37" s="1"/>
  <c r="K18" i="37"/>
  <c r="L18" i="37" s="1"/>
  <c r="G24" i="39"/>
  <c r="F17" i="50" l="1"/>
  <c r="G17" i="50" s="1"/>
  <c r="K17" i="50"/>
  <c r="N17" i="50"/>
  <c r="J17" i="39"/>
  <c r="L17" i="39"/>
  <c r="B19" i="50"/>
  <c r="B19" i="39"/>
  <c r="B16" i="36"/>
  <c r="B19" i="37"/>
  <c r="D19" i="37" s="1"/>
  <c r="D18" i="39"/>
  <c r="F18" i="39" s="1"/>
  <c r="H18" i="39"/>
  <c r="I18" i="50"/>
  <c r="D18" i="50"/>
  <c r="G16" i="50"/>
  <c r="G25" i="39"/>
  <c r="F18" i="50" l="1"/>
  <c r="K18" i="50"/>
  <c r="L18" i="50" s="1"/>
  <c r="N18" i="50"/>
  <c r="O18" i="50" s="1"/>
  <c r="J18" i="39"/>
  <c r="L18" i="39"/>
  <c r="O19" i="37"/>
  <c r="P19" i="37" s="1"/>
  <c r="G19" i="37"/>
  <c r="H19" i="37" s="1"/>
  <c r="K19" i="37"/>
  <c r="L19" i="37" s="1"/>
  <c r="B20" i="50"/>
  <c r="B17" i="36"/>
  <c r="B20" i="37"/>
  <c r="D20" i="37" s="1"/>
  <c r="B20" i="39"/>
  <c r="D19" i="39"/>
  <c r="F19" i="39" s="1"/>
  <c r="H19" i="39"/>
  <c r="I19" i="50"/>
  <c r="D19" i="50"/>
  <c r="O17" i="50"/>
  <c r="L17" i="50"/>
  <c r="G26" i="39"/>
  <c r="F19" i="50" l="1"/>
  <c r="G19" i="50" s="1"/>
  <c r="K19" i="50"/>
  <c r="N19" i="50"/>
  <c r="J19" i="39"/>
  <c r="L19" i="39"/>
  <c r="D20" i="39"/>
  <c r="F20" i="39" s="1"/>
  <c r="H20" i="39"/>
  <c r="O20" i="37"/>
  <c r="P20" i="37" s="1"/>
  <c r="G20" i="37"/>
  <c r="H20" i="37" s="1"/>
  <c r="K20" i="37"/>
  <c r="L20" i="37" s="1"/>
  <c r="B21" i="50"/>
  <c r="B18" i="36"/>
  <c r="B21" i="39"/>
  <c r="B21" i="37"/>
  <c r="D21" i="37" s="1"/>
  <c r="I20" i="50"/>
  <c r="D20" i="50"/>
  <c r="G18" i="50"/>
  <c r="G27" i="39"/>
  <c r="F20" i="50" l="1"/>
  <c r="K20" i="50"/>
  <c r="L20" i="50" s="1"/>
  <c r="N20" i="50"/>
  <c r="O20" i="50" s="1"/>
  <c r="O21" i="37"/>
  <c r="P21" i="37" s="1"/>
  <c r="G21" i="37"/>
  <c r="H21" i="37" s="1"/>
  <c r="K21" i="37"/>
  <c r="L21" i="37" s="1"/>
  <c r="D21" i="39"/>
  <c r="F21" i="39" s="1"/>
  <c r="H21" i="39"/>
  <c r="B22" i="50"/>
  <c r="B22" i="39"/>
  <c r="B22" i="37"/>
  <c r="D22" i="37" s="1"/>
  <c r="B19" i="36"/>
  <c r="I21" i="50"/>
  <c r="D21" i="50"/>
  <c r="L20" i="39"/>
  <c r="J20" i="39"/>
  <c r="O19" i="50"/>
  <c r="L19" i="50"/>
  <c r="G28" i="39"/>
  <c r="F21" i="50" l="1"/>
  <c r="G21" i="50" s="1"/>
  <c r="K21" i="50"/>
  <c r="N21" i="50"/>
  <c r="B23" i="50"/>
  <c r="B20" i="36"/>
  <c r="B23" i="37"/>
  <c r="D23" i="37" s="1"/>
  <c r="B23" i="39"/>
  <c r="O22" i="37"/>
  <c r="P22" i="37" s="1"/>
  <c r="G22" i="37"/>
  <c r="H22" i="37" s="1"/>
  <c r="K22" i="37"/>
  <c r="L22" i="37" s="1"/>
  <c r="D22" i="39"/>
  <c r="F22" i="39" s="1"/>
  <c r="H22" i="39"/>
  <c r="I22" i="50"/>
  <c r="D22" i="50"/>
  <c r="L21" i="39"/>
  <c r="J21" i="39"/>
  <c r="G20" i="50"/>
  <c r="G29" i="39"/>
  <c r="F22" i="50" l="1"/>
  <c r="K22" i="50"/>
  <c r="L22" i="50" s="1"/>
  <c r="N22" i="50"/>
  <c r="O22" i="50" s="1"/>
  <c r="J22" i="39"/>
  <c r="L22" i="39"/>
  <c r="D23" i="39"/>
  <c r="F23" i="39" s="1"/>
  <c r="H23" i="39"/>
  <c r="O23" i="37"/>
  <c r="P23" i="37" s="1"/>
  <c r="G23" i="37"/>
  <c r="H23" i="37" s="1"/>
  <c r="K23" i="37"/>
  <c r="L23" i="37" s="1"/>
  <c r="B24" i="50"/>
  <c r="B24" i="39"/>
  <c r="B21" i="36"/>
  <c r="B24" i="37"/>
  <c r="D24" i="37" s="1"/>
  <c r="I23" i="50"/>
  <c r="D23" i="50"/>
  <c r="O21" i="50"/>
  <c r="L21" i="50"/>
  <c r="G30" i="39"/>
  <c r="F23" i="50" l="1"/>
  <c r="G23" i="50" s="1"/>
  <c r="K23" i="50"/>
  <c r="N23" i="50"/>
  <c r="O24" i="37"/>
  <c r="P24" i="37" s="1"/>
  <c r="G24" i="37"/>
  <c r="H24" i="37" s="1"/>
  <c r="K24" i="37"/>
  <c r="L24" i="37" s="1"/>
  <c r="B25" i="50"/>
  <c r="B25" i="39"/>
  <c r="B25" i="37"/>
  <c r="D25" i="37" s="1"/>
  <c r="B22" i="36"/>
  <c r="D24" i="39"/>
  <c r="F24" i="39" s="1"/>
  <c r="H24" i="39"/>
  <c r="I24" i="50"/>
  <c r="D24" i="50"/>
  <c r="J23" i="39"/>
  <c r="L23" i="39"/>
  <c r="G22" i="50"/>
  <c r="G31" i="39"/>
  <c r="F24" i="50" l="1"/>
  <c r="K24" i="50"/>
  <c r="L24" i="50" s="1"/>
  <c r="N24" i="50"/>
  <c r="O24" i="50" s="1"/>
  <c r="L24" i="39"/>
  <c r="J24" i="39"/>
  <c r="B26" i="50"/>
  <c r="B26" i="39"/>
  <c r="B26" i="37"/>
  <c r="D26" i="37" s="1"/>
  <c r="B23" i="36"/>
  <c r="O25" i="37"/>
  <c r="P25" i="37" s="1"/>
  <c r="G25" i="37"/>
  <c r="H25" i="37" s="1"/>
  <c r="K25" i="37"/>
  <c r="L25" i="37" s="1"/>
  <c r="D25" i="39"/>
  <c r="F25" i="39" s="1"/>
  <c r="H25" i="39"/>
  <c r="D25" i="50"/>
  <c r="I25" i="50"/>
  <c r="O23" i="50"/>
  <c r="L23" i="50"/>
  <c r="G32" i="39"/>
  <c r="K25" i="50" l="1"/>
  <c r="N25" i="50"/>
  <c r="F25" i="50"/>
  <c r="G25" i="50" s="1"/>
  <c r="J25" i="39"/>
  <c r="L25" i="39"/>
  <c r="B27" i="50"/>
  <c r="B27" i="39"/>
  <c r="B24" i="36"/>
  <c r="B27" i="37"/>
  <c r="D27" i="37" s="1"/>
  <c r="O26" i="37"/>
  <c r="P26" i="37" s="1"/>
  <c r="G26" i="37"/>
  <c r="H26" i="37" s="1"/>
  <c r="K26" i="37"/>
  <c r="L26" i="37" s="1"/>
  <c r="D26" i="39"/>
  <c r="F26" i="39" s="1"/>
  <c r="H26" i="39"/>
  <c r="I26" i="50"/>
  <c r="D26" i="50"/>
  <c r="G24" i="50"/>
  <c r="G33" i="39"/>
  <c r="F26" i="50" l="1"/>
  <c r="K26" i="50"/>
  <c r="L26" i="50" s="1"/>
  <c r="N26" i="50"/>
  <c r="O26" i="50" s="1"/>
  <c r="J26" i="39"/>
  <c r="L26" i="39"/>
  <c r="O27" i="37"/>
  <c r="P27" i="37" s="1"/>
  <c r="G27" i="37"/>
  <c r="H27" i="37" s="1"/>
  <c r="K27" i="37"/>
  <c r="L27" i="37" s="1"/>
  <c r="B28" i="50"/>
  <c r="B25" i="36"/>
  <c r="B28" i="37"/>
  <c r="D28" i="37" s="1"/>
  <c r="B28" i="39"/>
  <c r="D27" i="39"/>
  <c r="F27" i="39" s="1"/>
  <c r="H27" i="39"/>
  <c r="I27" i="50"/>
  <c r="D27" i="50"/>
  <c r="O25" i="50"/>
  <c r="L25" i="50"/>
  <c r="G34" i="39"/>
  <c r="F27" i="50" l="1"/>
  <c r="G27" i="50" s="1"/>
  <c r="K27" i="50"/>
  <c r="N27" i="50"/>
  <c r="L27" i="39"/>
  <c r="J27" i="39"/>
  <c r="D28" i="39"/>
  <c r="F28" i="39" s="1"/>
  <c r="H28" i="39"/>
  <c r="O28" i="37"/>
  <c r="P28" i="37" s="1"/>
  <c r="G28" i="37"/>
  <c r="H28" i="37" s="1"/>
  <c r="K28" i="37"/>
  <c r="L28" i="37" s="1"/>
  <c r="B29" i="50"/>
  <c r="B29" i="39"/>
  <c r="B29" i="37"/>
  <c r="D29" i="37" s="1"/>
  <c r="B26" i="36"/>
  <c r="I28" i="50"/>
  <c r="D28" i="50"/>
  <c r="G26" i="50"/>
  <c r="G35" i="39"/>
  <c r="F28" i="50" l="1"/>
  <c r="K28" i="50"/>
  <c r="L28" i="50" s="1"/>
  <c r="N28" i="50"/>
  <c r="O28" i="50" s="1"/>
  <c r="B30" i="50"/>
  <c r="B30" i="39"/>
  <c r="B27" i="36"/>
  <c r="B30" i="37"/>
  <c r="D30" i="37" s="1"/>
  <c r="O29" i="37"/>
  <c r="P29" i="37" s="1"/>
  <c r="G29" i="37"/>
  <c r="H29" i="37" s="1"/>
  <c r="K29" i="37"/>
  <c r="L29" i="37" s="1"/>
  <c r="D29" i="39"/>
  <c r="F29" i="39" s="1"/>
  <c r="H29" i="39"/>
  <c r="D29" i="50"/>
  <c r="I29" i="50"/>
  <c r="L28" i="39"/>
  <c r="J28" i="39"/>
  <c r="O27" i="50"/>
  <c r="L27" i="50"/>
  <c r="G36" i="39"/>
  <c r="K29" i="50" l="1"/>
  <c r="N29" i="50"/>
  <c r="F29" i="50"/>
  <c r="G29" i="50" s="1"/>
  <c r="L29" i="39"/>
  <c r="J29" i="39"/>
  <c r="O30" i="37"/>
  <c r="P30" i="37" s="1"/>
  <c r="G30" i="37"/>
  <c r="H30" i="37" s="1"/>
  <c r="K30" i="37"/>
  <c r="L30" i="37" s="1"/>
  <c r="B31" i="50"/>
  <c r="B31" i="37"/>
  <c r="D31" i="37" s="1"/>
  <c r="B28" i="36"/>
  <c r="B31" i="39"/>
  <c r="D30" i="39"/>
  <c r="F30" i="39" s="1"/>
  <c r="H30" i="39"/>
  <c r="D30" i="50"/>
  <c r="I30" i="50"/>
  <c r="G28" i="50"/>
  <c r="G37" i="39"/>
  <c r="K30" i="50" l="1"/>
  <c r="L30" i="50" s="1"/>
  <c r="N30" i="50"/>
  <c r="O30" i="50" s="1"/>
  <c r="F30" i="50"/>
  <c r="J30" i="39"/>
  <c r="L30" i="39"/>
  <c r="D31" i="39"/>
  <c r="F31" i="39" s="1"/>
  <c r="H31" i="39"/>
  <c r="B32" i="50"/>
  <c r="B32" i="39"/>
  <c r="B29" i="36"/>
  <c r="B32" i="37"/>
  <c r="D32" i="37" s="1"/>
  <c r="O31" i="37"/>
  <c r="P31" i="37" s="1"/>
  <c r="G31" i="37"/>
  <c r="H31" i="37" s="1"/>
  <c r="K31" i="37"/>
  <c r="L31" i="37" s="1"/>
  <c r="D31" i="50"/>
  <c r="I31" i="50"/>
  <c r="O29" i="50"/>
  <c r="L29" i="50"/>
  <c r="G38" i="39"/>
  <c r="N31" i="50" l="1"/>
  <c r="K31" i="50"/>
  <c r="F31" i="50"/>
  <c r="G31" i="50" s="1"/>
  <c r="O32" i="37"/>
  <c r="P32" i="37" s="1"/>
  <c r="G32" i="37"/>
  <c r="H32" i="37" s="1"/>
  <c r="K32" i="37"/>
  <c r="L32" i="37" s="1"/>
  <c r="B33" i="50"/>
  <c r="B30" i="36"/>
  <c r="B33" i="39"/>
  <c r="B33" i="37"/>
  <c r="D33" i="37" s="1"/>
  <c r="D32" i="39"/>
  <c r="F32" i="39" s="1"/>
  <c r="H32" i="39"/>
  <c r="D32" i="50"/>
  <c r="I32" i="50"/>
  <c r="J31" i="39"/>
  <c r="L31" i="39"/>
  <c r="G30" i="50"/>
  <c r="G39" i="39"/>
  <c r="K32" i="50" l="1"/>
  <c r="L32" i="50" s="1"/>
  <c r="N32" i="50"/>
  <c r="O32" i="50" s="1"/>
  <c r="F32" i="50"/>
  <c r="L32" i="39"/>
  <c r="J32" i="39"/>
  <c r="O33" i="37"/>
  <c r="P33" i="37" s="1"/>
  <c r="G33" i="37"/>
  <c r="H33" i="37" s="1"/>
  <c r="K33" i="37"/>
  <c r="L33" i="37" s="1"/>
  <c r="D33" i="39"/>
  <c r="F33" i="39" s="1"/>
  <c r="H33" i="39"/>
  <c r="B34" i="50"/>
  <c r="B34" i="37"/>
  <c r="D34" i="37" s="1"/>
  <c r="B31" i="36"/>
  <c r="B34" i="39"/>
  <c r="D33" i="50"/>
  <c r="I33" i="50"/>
  <c r="L31" i="50"/>
  <c r="O31" i="50"/>
  <c r="K33" i="50" l="1"/>
  <c r="N33" i="50"/>
  <c r="F33" i="50"/>
  <c r="G33" i="50" s="1"/>
  <c r="D34" i="39"/>
  <c r="F34" i="39" s="1"/>
  <c r="H34" i="39"/>
  <c r="B35" i="50"/>
  <c r="B35" i="39"/>
  <c r="B32" i="36"/>
  <c r="B35" i="37"/>
  <c r="D35" i="37" s="1"/>
  <c r="O34" i="37"/>
  <c r="P34" i="37" s="1"/>
  <c r="G34" i="37"/>
  <c r="H34" i="37" s="1"/>
  <c r="K34" i="37"/>
  <c r="L34" i="37" s="1"/>
  <c r="D34" i="50"/>
  <c r="I34" i="50"/>
  <c r="J33" i="39"/>
  <c r="L33" i="39"/>
  <c r="G32" i="50"/>
  <c r="K34" i="50" l="1"/>
  <c r="L34" i="50" s="1"/>
  <c r="N34" i="50"/>
  <c r="O34" i="50" s="1"/>
  <c r="F34" i="50"/>
  <c r="O35" i="37"/>
  <c r="P35" i="37" s="1"/>
  <c r="G35" i="37"/>
  <c r="H35" i="37" s="1"/>
  <c r="K35" i="37"/>
  <c r="L35" i="37" s="1"/>
  <c r="B36" i="50"/>
  <c r="B36" i="39"/>
  <c r="B33" i="36"/>
  <c r="B36" i="37"/>
  <c r="D36" i="37" s="1"/>
  <c r="D35" i="39"/>
  <c r="F35" i="39" s="1"/>
  <c r="H35" i="39"/>
  <c r="D35" i="50"/>
  <c r="I35" i="50"/>
  <c r="J34" i="39"/>
  <c r="L34" i="39"/>
  <c r="O33" i="50"/>
  <c r="L33" i="50"/>
  <c r="N35" i="50" l="1"/>
  <c r="K35" i="50"/>
  <c r="F35" i="50"/>
  <c r="G35" i="50" s="1"/>
  <c r="J35" i="39"/>
  <c r="L35" i="39"/>
  <c r="O36" i="37"/>
  <c r="P36" i="37" s="1"/>
  <c r="G36" i="37"/>
  <c r="H36" i="37" s="1"/>
  <c r="K36" i="37"/>
  <c r="L36" i="37" s="1"/>
  <c r="B37" i="50"/>
  <c r="B37" i="37"/>
  <c r="D37" i="37" s="1"/>
  <c r="B34" i="36"/>
  <c r="B37" i="39"/>
  <c r="D36" i="39"/>
  <c r="F36" i="39" s="1"/>
  <c r="H36" i="39"/>
  <c r="D36" i="50"/>
  <c r="I36" i="50"/>
  <c r="G34" i="50"/>
  <c r="N36" i="50" l="1"/>
  <c r="O36" i="50" s="1"/>
  <c r="K36" i="50"/>
  <c r="L36" i="50" s="1"/>
  <c r="F36" i="50"/>
  <c r="L36" i="39"/>
  <c r="J36" i="39"/>
  <c r="D37" i="39"/>
  <c r="F37" i="39" s="1"/>
  <c r="H37" i="39"/>
  <c r="B38" i="50"/>
  <c r="B38" i="39"/>
  <c r="B38" i="37"/>
  <c r="D38" i="37" s="1"/>
  <c r="B35" i="36"/>
  <c r="O37" i="37"/>
  <c r="P37" i="37" s="1"/>
  <c r="G37" i="37"/>
  <c r="H37" i="37" s="1"/>
  <c r="K37" i="37"/>
  <c r="L37" i="37" s="1"/>
  <c r="D37" i="50"/>
  <c r="I37" i="50"/>
  <c r="L35" i="50"/>
  <c r="O35" i="50"/>
  <c r="K37" i="50" l="1"/>
  <c r="N37" i="50"/>
  <c r="F37" i="50"/>
  <c r="G37" i="50" s="1"/>
  <c r="B39" i="50"/>
  <c r="B39" i="37"/>
  <c r="D39" i="37" s="1"/>
  <c r="B39" i="39"/>
  <c r="B36" i="36"/>
  <c r="O38" i="37"/>
  <c r="P38" i="37" s="1"/>
  <c r="G38" i="37"/>
  <c r="H38" i="37" s="1"/>
  <c r="K38" i="37"/>
  <c r="L38" i="37" s="1"/>
  <c r="D38" i="39"/>
  <c r="F38" i="39" s="1"/>
  <c r="H38" i="39"/>
  <c r="D38" i="50"/>
  <c r="I38" i="50"/>
  <c r="L37" i="39"/>
  <c r="J37" i="39"/>
  <c r="G36" i="50"/>
  <c r="K38" i="50" l="1"/>
  <c r="L38" i="50" s="1"/>
  <c r="N38" i="50"/>
  <c r="O38" i="50" s="1"/>
  <c r="F38" i="50"/>
  <c r="J38" i="39"/>
  <c r="L38" i="39"/>
  <c r="B37" i="36"/>
  <c r="B40" i="37"/>
  <c r="D40" i="37" s="1"/>
  <c r="D39" i="39"/>
  <c r="F39" i="39" s="1"/>
  <c r="O9" i="39" s="1"/>
  <c r="H39" i="39"/>
  <c r="O39" i="37"/>
  <c r="P39" i="37" s="1"/>
  <c r="G39" i="37"/>
  <c r="H39" i="37" s="1"/>
  <c r="K39" i="37"/>
  <c r="L39" i="37" s="1"/>
  <c r="D39" i="50"/>
  <c r="I39" i="50"/>
  <c r="X12" i="50"/>
  <c r="X11" i="50"/>
  <c r="X10" i="50"/>
  <c r="O37" i="50"/>
  <c r="L37" i="50"/>
  <c r="K39" i="50" l="1"/>
  <c r="N39" i="50"/>
  <c r="W11" i="50"/>
  <c r="Y11" i="50" s="1"/>
  <c r="W12" i="50"/>
  <c r="Y12" i="50" s="1"/>
  <c r="F39" i="50"/>
  <c r="G39" i="50" s="1"/>
  <c r="W10" i="50"/>
  <c r="Y10" i="50" s="1"/>
  <c r="L39" i="39"/>
  <c r="O11" i="39" s="1"/>
  <c r="E12" i="42" s="1"/>
  <c r="J39" i="39"/>
  <c r="O10" i="39" s="1"/>
  <c r="E11" i="42" s="1"/>
  <c r="O40" i="37"/>
  <c r="P40" i="37" s="1"/>
  <c r="G40" i="37"/>
  <c r="H40" i="37" s="1"/>
  <c r="K40" i="37"/>
  <c r="L40" i="37" s="1"/>
  <c r="B38" i="36"/>
  <c r="B41" i="37"/>
  <c r="D41" i="37" s="1"/>
  <c r="G38" i="50"/>
  <c r="G41" i="50" s="1"/>
  <c r="S10" i="50" s="1"/>
  <c r="F41" i="50"/>
  <c r="R10" i="50" s="1"/>
  <c r="T10" i="50" l="1"/>
  <c r="E15" i="42" s="1"/>
  <c r="O41" i="37"/>
  <c r="P41" i="37" s="1"/>
  <c r="G41" i="37"/>
  <c r="H41" i="37" s="1"/>
  <c r="K41" i="37"/>
  <c r="L41" i="37" s="1"/>
  <c r="B42" i="37"/>
  <c r="D42" i="37" s="1"/>
  <c r="B39" i="36"/>
  <c r="O39" i="50"/>
  <c r="O41" i="50" s="1"/>
  <c r="S12" i="50" s="1"/>
  <c r="N41" i="50"/>
  <c r="R12" i="50" s="1"/>
  <c r="L39" i="50"/>
  <c r="L41" i="50" s="1"/>
  <c r="S11" i="50" s="1"/>
  <c r="K41" i="50"/>
  <c r="R11" i="50" s="1"/>
  <c r="T11" i="50" l="1"/>
  <c r="E16" i="42" s="1"/>
  <c r="T12" i="50"/>
  <c r="E17" i="42" s="1"/>
  <c r="B40" i="36"/>
  <c r="B43" i="37"/>
  <c r="D43" i="37" s="1"/>
  <c r="O42" i="37"/>
  <c r="P42" i="37" s="1"/>
  <c r="G42" i="37"/>
  <c r="H42" i="37" s="1"/>
  <c r="K42" i="37"/>
  <c r="L42" i="37" s="1"/>
  <c r="O43" i="37" l="1"/>
  <c r="P43" i="37" s="1"/>
  <c r="G43" i="37"/>
  <c r="H43" i="37" s="1"/>
  <c r="K43" i="37"/>
  <c r="L43" i="37" s="1"/>
  <c r="B41" i="36"/>
  <c r="B44" i="37"/>
  <c r="D44" i="37" s="1"/>
  <c r="O44" i="37" l="1"/>
  <c r="P44" i="37" s="1"/>
  <c r="G44" i="37"/>
  <c r="H44" i="37" s="1"/>
  <c r="K44" i="37"/>
  <c r="L44" i="37" s="1"/>
  <c r="B45" i="37"/>
  <c r="D45" i="37" s="1"/>
  <c r="B42" i="36"/>
  <c r="B46" i="37" l="1"/>
  <c r="D46" i="37" s="1"/>
  <c r="B43" i="36"/>
  <c r="O45" i="37"/>
  <c r="P45" i="37" s="1"/>
  <c r="G45" i="37"/>
  <c r="H45" i="37" s="1"/>
  <c r="K45" i="37"/>
  <c r="L45" i="37" s="1"/>
  <c r="B47" i="37" l="1"/>
  <c r="D47" i="37" s="1"/>
  <c r="B44" i="36"/>
  <c r="O46" i="37"/>
  <c r="P46" i="37" s="1"/>
  <c r="G46" i="37"/>
  <c r="H46" i="37" s="1"/>
  <c r="K46" i="37"/>
  <c r="L46" i="37" s="1"/>
  <c r="B48" i="37" l="1"/>
  <c r="D48" i="37" s="1"/>
  <c r="B45" i="36"/>
  <c r="O47" i="37"/>
  <c r="P47" i="37" s="1"/>
  <c r="G47" i="37"/>
  <c r="H47" i="37" s="1"/>
  <c r="K47" i="37"/>
  <c r="L47" i="37" s="1"/>
  <c r="B46" i="36" l="1"/>
  <c r="B49" i="37"/>
  <c r="D49" i="37" s="1"/>
  <c r="O48" i="37"/>
  <c r="P48" i="37" s="1"/>
  <c r="G48" i="37"/>
  <c r="H48" i="37" s="1"/>
  <c r="K48" i="37"/>
  <c r="L48" i="37" s="1"/>
  <c r="O49" i="37" l="1"/>
  <c r="P49" i="37" s="1"/>
  <c r="G49" i="37"/>
  <c r="H49" i="37" s="1"/>
  <c r="K49" i="37"/>
  <c r="L49" i="37" s="1"/>
  <c r="B50" i="37"/>
  <c r="D50" i="37" s="1"/>
  <c r="B47" i="36"/>
  <c r="B51" i="37" l="1"/>
  <c r="D51" i="37" s="1"/>
  <c r="B48" i="36"/>
  <c r="O50" i="37"/>
  <c r="P50" i="37" s="1"/>
  <c r="G50" i="37"/>
  <c r="H50" i="37" s="1"/>
  <c r="K50" i="37"/>
  <c r="L50" i="37" s="1"/>
  <c r="B49" i="36" l="1"/>
  <c r="B52" i="37"/>
  <c r="D52" i="37" s="1"/>
  <c r="O51" i="37"/>
  <c r="P51" i="37" s="1"/>
  <c r="G51" i="37"/>
  <c r="H51" i="37" s="1"/>
  <c r="K51" i="37"/>
  <c r="L51" i="37" s="1"/>
  <c r="O52" i="37" l="1"/>
  <c r="P52" i="37" s="1"/>
  <c r="G52" i="37"/>
  <c r="H52" i="37" s="1"/>
  <c r="K52" i="37"/>
  <c r="L52" i="37" s="1"/>
  <c r="B50" i="36"/>
  <c r="B53" i="37"/>
  <c r="D53" i="37" s="1"/>
  <c r="O53" i="37" l="1"/>
  <c r="P53" i="37" s="1"/>
  <c r="G53" i="37"/>
  <c r="H53" i="37" s="1"/>
  <c r="K53" i="37"/>
  <c r="L53" i="37" s="1"/>
  <c r="B51" i="36"/>
  <c r="B54" i="37"/>
  <c r="D54" i="37" s="1"/>
  <c r="O54" i="37" l="1"/>
  <c r="P54" i="37" s="1"/>
  <c r="G54" i="37"/>
  <c r="H54" i="37" s="1"/>
  <c r="K54" i="37"/>
  <c r="L54" i="37" s="1"/>
  <c r="B55" i="37"/>
  <c r="D55" i="37" s="1"/>
  <c r="B52" i="36"/>
  <c r="B53" i="36" l="1"/>
  <c r="B56" i="37"/>
  <c r="D56" i="37" s="1"/>
  <c r="O55" i="37"/>
  <c r="P55" i="37" s="1"/>
  <c r="G55" i="37"/>
  <c r="H55" i="37" s="1"/>
  <c r="K55" i="37"/>
  <c r="L55" i="37" s="1"/>
  <c r="O56" i="37" l="1"/>
  <c r="P56" i="37" s="1"/>
  <c r="G56" i="37"/>
  <c r="H56" i="37" s="1"/>
  <c r="K56" i="37"/>
  <c r="L56" i="37" s="1"/>
  <c r="B54" i="36"/>
  <c r="B57" i="37"/>
  <c r="D57" i="37" s="1"/>
  <c r="O57" i="37" l="1"/>
  <c r="P57" i="37" s="1"/>
  <c r="G57" i="37"/>
  <c r="H57" i="37" s="1"/>
  <c r="K57" i="37"/>
  <c r="L57" i="37" s="1"/>
  <c r="B58" i="37"/>
  <c r="D58" i="37" s="1"/>
  <c r="B55" i="36"/>
  <c r="B56" i="36" l="1"/>
  <c r="B59" i="37"/>
  <c r="D59" i="37" s="1"/>
  <c r="O58" i="37"/>
  <c r="G58" i="37"/>
  <c r="H58" i="37" s="1"/>
  <c r="K58" i="37"/>
  <c r="L58" i="37" s="1"/>
  <c r="P58" i="37" l="1"/>
  <c r="O59" i="37"/>
  <c r="G59" i="37"/>
  <c r="K59" i="37"/>
  <c r="B57" i="36"/>
  <c r="B60" i="37"/>
  <c r="D60" i="37" s="1"/>
  <c r="B61" i="37" l="1"/>
  <c r="D61" i="37" s="1"/>
  <c r="B58" i="36"/>
  <c r="L59" i="37"/>
  <c r="L61" i="37" s="1"/>
  <c r="K61" i="37"/>
  <c r="K7" i="37" s="1"/>
  <c r="H59" i="37"/>
  <c r="H61" i="37" s="1"/>
  <c r="G61" i="37"/>
  <c r="G7" i="37" s="1"/>
  <c r="P59" i="37"/>
  <c r="P61" i="37" s="1"/>
  <c r="O61" i="37"/>
  <c r="O7" i="37" s="1"/>
  <c r="P7" i="37" l="1"/>
  <c r="S12" i="37"/>
  <c r="H7" i="37"/>
  <c r="S10" i="37"/>
  <c r="L7" i="37"/>
  <c r="S11" i="37"/>
  <c r="B59" i="36"/>
  <c r="B62" i="37"/>
  <c r="D62" i="37" s="1"/>
  <c r="B63" i="37" l="1"/>
  <c r="D63" i="37" s="1"/>
  <c r="B60" i="36"/>
  <c r="B64" i="37" l="1"/>
  <c r="D64" i="37" s="1"/>
  <c r="B61" i="36"/>
  <c r="B62" i="36" l="1"/>
  <c r="B65" i="37"/>
  <c r="D65" i="37" s="1"/>
  <c r="B66" i="37" l="1"/>
  <c r="D66" i="37" s="1"/>
  <c r="B63" i="36"/>
  <c r="B67" i="37" l="1"/>
  <c r="D67" i="37" s="1"/>
  <c r="B64" i="36"/>
  <c r="D7" i="42"/>
  <c r="D5" i="42"/>
  <c r="D6" i="42"/>
  <c r="B65" i="36" l="1"/>
  <c r="B69" i="37" s="1"/>
  <c r="D69" i="37" s="1"/>
  <c r="B68" i="37"/>
  <c r="D68" i="37" s="1"/>
  <c r="C26" i="26"/>
  <c r="C27" i="25"/>
  <c r="C27" i="24"/>
  <c r="C7" i="28" l="1"/>
  <c r="H29" i="26"/>
  <c r="G29" i="26"/>
  <c r="H28" i="26"/>
  <c r="E28" i="26"/>
  <c r="H27" i="26"/>
  <c r="E27" i="26"/>
  <c r="H26" i="26"/>
  <c r="E26" i="26"/>
  <c r="H19" i="26"/>
  <c r="G19" i="26"/>
  <c r="H18" i="26"/>
  <c r="E18" i="26"/>
  <c r="H17" i="26"/>
  <c r="E17" i="26"/>
  <c r="H16" i="26"/>
  <c r="E16" i="26"/>
  <c r="C16" i="26"/>
  <c r="C6" i="26"/>
  <c r="C7" i="26" s="1"/>
  <c r="C8" i="26" s="1"/>
  <c r="C5" i="26"/>
  <c r="G31" i="25"/>
  <c r="E31" i="25"/>
  <c r="G30" i="25"/>
  <c r="E30" i="25"/>
  <c r="G29" i="25"/>
  <c r="E29" i="25"/>
  <c r="G28" i="25"/>
  <c r="E28" i="25"/>
  <c r="G27" i="25"/>
  <c r="E27" i="25"/>
  <c r="G20" i="25"/>
  <c r="E20" i="25"/>
  <c r="G19" i="25"/>
  <c r="E19" i="25"/>
  <c r="G18" i="25"/>
  <c r="E18" i="25"/>
  <c r="G17" i="25"/>
  <c r="E17" i="25"/>
  <c r="G16" i="25"/>
  <c r="E16" i="25"/>
  <c r="C16" i="25"/>
  <c r="C6" i="25"/>
  <c r="C5" i="25"/>
  <c r="G31" i="24"/>
  <c r="E31" i="24"/>
  <c r="G30" i="24"/>
  <c r="E30" i="24"/>
  <c r="G29" i="24"/>
  <c r="E29" i="24"/>
  <c r="G28" i="24"/>
  <c r="E28" i="24"/>
  <c r="G27" i="24"/>
  <c r="E27" i="24"/>
  <c r="G20" i="24"/>
  <c r="E20" i="24"/>
  <c r="G19" i="24"/>
  <c r="E19" i="24"/>
  <c r="G18" i="24"/>
  <c r="E18" i="24"/>
  <c r="G17" i="24"/>
  <c r="E17" i="24"/>
  <c r="G16" i="24"/>
  <c r="E16" i="24"/>
  <c r="C16" i="24"/>
  <c r="C6" i="24"/>
  <c r="C5" i="24"/>
  <c r="C23" i="12"/>
  <c r="C22" i="12"/>
  <c r="C21" i="12"/>
  <c r="C20" i="12"/>
  <c r="C19" i="12"/>
  <c r="C18" i="12"/>
  <c r="C17" i="12"/>
  <c r="C16" i="12"/>
  <c r="C15" i="12"/>
  <c r="C14" i="12"/>
  <c r="C13" i="12"/>
  <c r="C12" i="12"/>
  <c r="C11" i="12"/>
  <c r="C10" i="12"/>
  <c r="C9" i="12"/>
  <c r="D11" i="12" l="1"/>
  <c r="C11" i="45" s="1"/>
  <c r="D15" i="12"/>
  <c r="C15" i="45" s="1"/>
  <c r="D19" i="12"/>
  <c r="C19" i="45" s="1"/>
  <c r="D16" i="12"/>
  <c r="C16" i="45" s="1"/>
  <c r="D20" i="12"/>
  <c r="C20" i="45" s="1"/>
  <c r="D9" i="12"/>
  <c r="C9" i="45" s="1"/>
  <c r="I29" i="26"/>
  <c r="C9" i="24"/>
  <c r="D29" i="24" s="1"/>
  <c r="H29" i="24" s="1"/>
  <c r="C9" i="25"/>
  <c r="D16" i="25" s="1"/>
  <c r="C7" i="25"/>
  <c r="C8" i="25" s="1"/>
  <c r="D23" i="12"/>
  <c r="C23" i="45" s="1"/>
  <c r="C7" i="24"/>
  <c r="C9" i="26"/>
  <c r="D26" i="26" s="1"/>
  <c r="I26" i="26" s="1"/>
  <c r="D12" i="12"/>
  <c r="C12" i="45" s="1"/>
  <c r="I19" i="26"/>
  <c r="F17" i="26"/>
  <c r="F16" i="26"/>
  <c r="F18" i="26"/>
  <c r="D13" i="12"/>
  <c r="C13" i="45" s="1"/>
  <c r="D10" i="12"/>
  <c r="C10" i="45" s="1"/>
  <c r="D17" i="12"/>
  <c r="C17" i="45" s="1"/>
  <c r="D21" i="12"/>
  <c r="C21" i="45" s="1"/>
  <c r="D14" i="12"/>
  <c r="C14" i="45" s="1"/>
  <c r="D18" i="12"/>
  <c r="C18" i="45" s="1"/>
  <c r="D22" i="12"/>
  <c r="C22" i="45" s="1"/>
  <c r="C8" i="24" l="1"/>
  <c r="F16" i="24" s="1"/>
  <c r="E18" i="45"/>
  <c r="E10" i="45"/>
  <c r="E16" i="45"/>
  <c r="E14" i="45"/>
  <c r="E19" i="45"/>
  <c r="E21" i="45"/>
  <c r="E12" i="45"/>
  <c r="E9" i="45"/>
  <c r="E22" i="45"/>
  <c r="E17" i="45"/>
  <c r="E20" i="45"/>
  <c r="D18" i="25"/>
  <c r="E9" i="12"/>
  <c r="F9" i="12" s="1"/>
  <c r="E23" i="45"/>
  <c r="E15" i="45"/>
  <c r="E11" i="45"/>
  <c r="E13" i="45"/>
  <c r="F20" i="24"/>
  <c r="F17" i="24"/>
  <c r="D27" i="24"/>
  <c r="H27" i="24" s="1"/>
  <c r="F19" i="24"/>
  <c r="F18" i="24"/>
  <c r="D28" i="24"/>
  <c r="H28" i="24" s="1"/>
  <c r="D17" i="24"/>
  <c r="D16" i="24"/>
  <c r="H16" i="24" s="1"/>
  <c r="D30" i="24"/>
  <c r="H30" i="24" s="1"/>
  <c r="D20" i="24"/>
  <c r="D31" i="24"/>
  <c r="H31" i="24" s="1"/>
  <c r="D18" i="24"/>
  <c r="D19" i="24"/>
  <c r="D18" i="26"/>
  <c r="I18" i="26" s="1"/>
  <c r="D20" i="25"/>
  <c r="D16" i="26"/>
  <c r="I16" i="26" s="1"/>
  <c r="D17" i="26"/>
  <c r="I17" i="26" s="1"/>
  <c r="D27" i="26"/>
  <c r="I27" i="26" s="1"/>
  <c r="D28" i="26"/>
  <c r="I28" i="26" s="1"/>
  <c r="F18" i="25"/>
  <c r="F19" i="25"/>
  <c r="F16" i="25"/>
  <c r="H16" i="25" s="1"/>
  <c r="F17" i="25"/>
  <c r="F20" i="25"/>
  <c r="D19" i="25"/>
  <c r="D27" i="25"/>
  <c r="H27" i="25" s="1"/>
  <c r="D28" i="25"/>
  <c r="H28" i="25" s="1"/>
  <c r="D29" i="25"/>
  <c r="H29" i="25" s="1"/>
  <c r="D30" i="25"/>
  <c r="H30" i="25" s="1"/>
  <c r="D31" i="25"/>
  <c r="H31" i="25" s="1"/>
  <c r="D17" i="25"/>
  <c r="F9" i="45" l="1"/>
  <c r="G9" i="12"/>
  <c r="H20" i="25"/>
  <c r="H17" i="24"/>
  <c r="H18" i="25"/>
  <c r="H18" i="24"/>
  <c r="H20" i="24"/>
  <c r="H19" i="24"/>
  <c r="H32" i="24"/>
  <c r="D5" i="28" s="1"/>
  <c r="I30" i="26"/>
  <c r="D8" i="28" s="1"/>
  <c r="I20" i="26"/>
  <c r="C8" i="28" s="1"/>
  <c r="H17" i="25"/>
  <c r="H32" i="25"/>
  <c r="H19" i="25"/>
  <c r="G9" i="45" l="1"/>
  <c r="J9" i="45" s="1"/>
  <c r="N9" i="45" s="1"/>
  <c r="C9" i="44" s="1"/>
  <c r="E9" i="44" s="1"/>
  <c r="G9" i="44" s="1"/>
  <c r="E10" i="12"/>
  <c r="F10" i="12" s="1"/>
  <c r="F10" i="45" s="1"/>
  <c r="H21" i="24"/>
  <c r="C5" i="28" s="1"/>
  <c r="H21" i="25"/>
  <c r="H34" i="25" s="1"/>
  <c r="G10" i="12"/>
  <c r="G10" i="45" l="1"/>
  <c r="J10" i="45" s="1"/>
  <c r="N10" i="45" s="1"/>
  <c r="C10" i="44" s="1"/>
  <c r="E10" i="44" s="1"/>
  <c r="G10" i="44" s="1"/>
  <c r="E11" i="12"/>
  <c r="F11" i="12" l="1"/>
  <c r="F11" i="45" l="1"/>
  <c r="G11" i="12"/>
  <c r="G11" i="45" l="1"/>
  <c r="J11" i="45" s="1"/>
  <c r="N11" i="45" s="1"/>
  <c r="C11" i="44" s="1"/>
  <c r="E11" i="44" s="1"/>
  <c r="G11" i="44" s="1"/>
  <c r="E12" i="12"/>
  <c r="F12" i="12" l="1"/>
  <c r="F12" i="45" l="1"/>
  <c r="G12" i="12"/>
  <c r="G12" i="45" l="1"/>
  <c r="J12" i="45" s="1"/>
  <c r="N12" i="45" s="1"/>
  <c r="C12" i="44" s="1"/>
  <c r="E12" i="44" s="1"/>
  <c r="G12" i="44" s="1"/>
  <c r="E13" i="12"/>
  <c r="F13" i="12" s="1"/>
  <c r="F13" i="45" l="1"/>
  <c r="G13" i="12"/>
  <c r="E14" i="12" l="1"/>
  <c r="F14" i="12" s="1"/>
  <c r="G13" i="45"/>
  <c r="F14" i="45" l="1"/>
  <c r="J13" i="45"/>
  <c r="N13" i="45" s="1"/>
  <c r="C13" i="44" s="1"/>
  <c r="E13" i="44" s="1"/>
  <c r="G13" i="44" s="1"/>
  <c r="G14" i="12"/>
  <c r="G14" i="45" l="1"/>
  <c r="J14" i="45" s="1"/>
  <c r="N14" i="45" s="1"/>
  <c r="C14" i="44" s="1"/>
  <c r="E14" i="44" s="1"/>
  <c r="G14" i="44" s="1"/>
  <c r="E15" i="12"/>
  <c r="F15" i="12" l="1"/>
  <c r="F15" i="45" l="1"/>
  <c r="G15" i="12"/>
  <c r="G15" i="45" l="1"/>
  <c r="J15" i="45" s="1"/>
  <c r="N15" i="45" s="1"/>
  <c r="C15" i="44" s="1"/>
  <c r="E15" i="44" s="1"/>
  <c r="G15" i="44" s="1"/>
  <c r="E16" i="12"/>
  <c r="F16" i="12" l="1"/>
  <c r="F16" i="45" l="1"/>
  <c r="G16" i="12"/>
  <c r="E17" i="12" l="1"/>
  <c r="F17" i="12" s="1"/>
  <c r="G16" i="45"/>
  <c r="F17" i="45" l="1"/>
  <c r="J16" i="45"/>
  <c r="N16" i="45" s="1"/>
  <c r="C16" i="44" s="1"/>
  <c r="E16" i="44" s="1"/>
  <c r="G16" i="44" s="1"/>
  <c r="G17" i="12"/>
  <c r="G17" i="45" l="1"/>
  <c r="J17" i="45" s="1"/>
  <c r="N17" i="45" s="1"/>
  <c r="C17" i="44" s="1"/>
  <c r="E17" i="44" s="1"/>
  <c r="G17" i="44" s="1"/>
  <c r="E18" i="12"/>
  <c r="F18" i="12" l="1"/>
  <c r="F18" i="45" l="1"/>
  <c r="G18" i="12"/>
  <c r="G18" i="45" l="1"/>
  <c r="J18" i="45" s="1"/>
  <c r="N18" i="45" s="1"/>
  <c r="C18" i="44" s="1"/>
  <c r="E18" i="44" s="1"/>
  <c r="G18" i="44" s="1"/>
  <c r="E19" i="12"/>
  <c r="F19" i="12" l="1"/>
  <c r="F19" i="45" l="1"/>
  <c r="G19" i="12"/>
  <c r="G19" i="45" l="1"/>
  <c r="J19" i="45" s="1"/>
  <c r="N19" i="45" s="1"/>
  <c r="C19" i="44" s="1"/>
  <c r="E19" i="44" s="1"/>
  <c r="G19" i="44" s="1"/>
  <c r="E20" i="12"/>
  <c r="F20" i="12" l="1"/>
  <c r="F20" i="45" l="1"/>
  <c r="G20" i="12"/>
  <c r="E21" i="12" l="1"/>
  <c r="F21" i="12" s="1"/>
  <c r="G20" i="45"/>
  <c r="F21" i="45" l="1"/>
  <c r="J20" i="45"/>
  <c r="N20" i="45" s="1"/>
  <c r="C20" i="44" s="1"/>
  <c r="E20" i="44" s="1"/>
  <c r="G20" i="44" s="1"/>
  <c r="G21" i="12"/>
  <c r="E22" i="12" l="1"/>
  <c r="F22" i="12" s="1"/>
  <c r="G21" i="45"/>
  <c r="F22" i="45" l="1"/>
  <c r="J21" i="45"/>
  <c r="N21" i="45" s="1"/>
  <c r="C21" i="44" s="1"/>
  <c r="E21" i="44" s="1"/>
  <c r="G21" i="44" s="1"/>
  <c r="G22" i="12"/>
  <c r="G22" i="45" l="1"/>
  <c r="J22" i="45" s="1"/>
  <c r="N22" i="45" s="1"/>
  <c r="C22" i="44" s="1"/>
  <c r="E22" i="44" s="1"/>
  <c r="G22" i="44" s="1"/>
  <c r="E23" i="12"/>
  <c r="F23" i="12" l="1"/>
  <c r="F23" i="45" l="1"/>
  <c r="N23" i="45" s="1"/>
  <c r="C23" i="44"/>
  <c r="E23" i="44" s="1"/>
  <c r="G23" i="44" s="1"/>
  <c r="G4" i="44" s="1"/>
  <c r="C6" i="15" s="1"/>
  <c r="G23" i="12"/>
</calcChain>
</file>

<file path=xl/sharedStrings.xml><?xml version="1.0" encoding="utf-8"?>
<sst xmlns="http://schemas.openxmlformats.org/spreadsheetml/2006/main" count="411" uniqueCount="214">
  <si>
    <t>Age</t>
  </si>
  <si>
    <t>Premium</t>
  </si>
  <si>
    <t>[1]</t>
  </si>
  <si>
    <t>[2]</t>
  </si>
  <si>
    <t>Policy information</t>
  </si>
  <si>
    <t>Death benefit</t>
  </si>
  <si>
    <t>Maturity benefit</t>
  </si>
  <si>
    <t>Surrender benefit</t>
  </si>
  <si>
    <t>Unit fund value less surrender penalty</t>
  </si>
  <si>
    <t>Surrender penalty</t>
  </si>
  <si>
    <t>percentage of the unit fund value</t>
  </si>
  <si>
    <t>Charging structure</t>
  </si>
  <si>
    <t>Allocation rate</t>
  </si>
  <si>
    <t>Policy fee</t>
  </si>
  <si>
    <t>percentage of the bid value of the unit fund, deducted at the end of year by cancelling units</t>
  </si>
  <si>
    <t>Bid-offer spread</t>
  </si>
  <si>
    <t>per annum</t>
  </si>
  <si>
    <t>Interest earned on non-unit cashflows</t>
  </si>
  <si>
    <t>Initial expenses</t>
  </si>
  <si>
    <t>Renewal expenses</t>
  </si>
  <si>
    <t>Claim expenses</t>
  </si>
  <si>
    <t>on death, surrender or maturity</t>
  </si>
  <si>
    <t>Percentage of all policies in force at the end of each year in line with table on right</t>
  </si>
  <si>
    <t>Risk discount rate</t>
  </si>
  <si>
    <t>NPV</t>
  </si>
  <si>
    <t>Unit fund projection</t>
  </si>
  <si>
    <t>Non-unit cashflow projection</t>
  </si>
  <si>
    <t>Year</t>
  </si>
  <si>
    <t>Cost of allocation</t>
  </si>
  <si>
    <t>Fund at the end of the year before deduction of policy fee</t>
  </si>
  <si>
    <t>Fund at the end of the year after deduction of policy fee</t>
  </si>
  <si>
    <t>Premium less cost of allocation</t>
  </si>
  <si>
    <t>Initial and renewal expenses</t>
  </si>
  <si>
    <t>Interest</t>
  </si>
  <si>
    <t>Expected non-unit cashflows</t>
  </si>
  <si>
    <t>Profit vector</t>
  </si>
  <si>
    <t>Probability in force</t>
  </si>
  <si>
    <t>Profit signature</t>
  </si>
  <si>
    <t>Discounting</t>
  </si>
  <si>
    <t>EPV</t>
  </si>
  <si>
    <t>all other answers on separate tabs</t>
  </si>
  <si>
    <t>Vehicle Type</t>
  </si>
  <si>
    <t>Internal Combustion Engine (ICE)</t>
  </si>
  <si>
    <t>Electric Vehicle (EV)</t>
  </si>
  <si>
    <t>Initial cost per vehicle</t>
  </si>
  <si>
    <t>$30,000 payable at outset</t>
  </si>
  <si>
    <t>$45,000 payable at outset</t>
  </si>
  <si>
    <t>N/A</t>
  </si>
  <si>
    <t>Running Cost per mile driven</t>
  </si>
  <si>
    <t>$0.15 initially, increasing by 4% annually - first increase at the start of the second year</t>
  </si>
  <si>
    <t>$0.04 fixed cost</t>
  </si>
  <si>
    <t>Annual Maintenance cost per vehicle</t>
  </si>
  <si>
    <t>$500 payable at the end of the year, increasing by $25 per year from the second payment onwards</t>
  </si>
  <si>
    <t>$150 payable midway through the year, increasing by 5% each year from the second payment onwards</t>
  </si>
  <si>
    <t>Government tax on emissions per vehicle</t>
  </si>
  <si>
    <t>$50 per vehicle payable at the start of each month, fixed cost</t>
  </si>
  <si>
    <t>i</t>
  </si>
  <si>
    <t>Delta</t>
  </si>
  <si>
    <t>d</t>
  </si>
  <si>
    <r>
      <rPr>
        <sz val="11"/>
        <color theme="1"/>
        <rFont val="Calibri"/>
        <family val="2"/>
        <scheme val="minor"/>
      </rPr>
      <t>d</t>
    </r>
    <r>
      <rPr>
        <vertAlign val="superscript"/>
        <sz val="11"/>
        <color theme="1"/>
        <rFont val="Calibri"/>
        <family val="2"/>
        <scheme val="minor"/>
      </rPr>
      <t>(12)</t>
    </r>
  </si>
  <si>
    <r>
      <t xml:space="preserve">a due (1) </t>
    </r>
    <r>
      <rPr>
        <vertAlign val="superscript"/>
        <sz val="11"/>
        <color theme="1"/>
        <rFont val="Calibri"/>
        <family val="2"/>
        <scheme val="minor"/>
      </rPr>
      <t>(12)</t>
    </r>
  </si>
  <si>
    <t>a bar (1)</t>
  </si>
  <si>
    <t>Internal Combustion Engine</t>
  </si>
  <si>
    <t>Initial cost</t>
  </si>
  <si>
    <t>Running cost start of year</t>
  </si>
  <si>
    <t>Maintenance cost start of year</t>
  </si>
  <si>
    <t>Government Tax start of year</t>
  </si>
  <si>
    <t>Discount Factor</t>
  </si>
  <si>
    <t>PV of Total Cost</t>
  </si>
  <si>
    <t>Total PV</t>
  </si>
  <si>
    <t>Electric Vehicle</t>
  </si>
  <si>
    <t>required mileage</t>
  </si>
  <si>
    <t>Cost difference</t>
  </si>
  <si>
    <t>Income from sale of vehicles</t>
  </si>
  <si>
    <t>The model allows for the main costs of the investment.</t>
  </si>
  <si>
    <t>The company needs to decide on a definite timescale before it can use this model to make a decision.</t>
  </si>
  <si>
    <t>The initial 5 year model did not take account of the vehicle's residual value at the end of the term - this needs to be allowed for to make the model suitable for use.</t>
  </si>
  <si>
    <t>The model only gives a comparison of the costs of the investment.</t>
  </si>
  <si>
    <t>It does not consider the benefits to the company…</t>
  </si>
  <si>
    <t>…or the availability of the cash to finance the investment.</t>
  </si>
  <si>
    <t>In order to make an informed decision the company will need to consider all of these things.</t>
  </si>
  <si>
    <t>The company may need to borrow money for the initial outlay - if so it will need to take account of the cost of borrowing, which will be higher for the Evs.</t>
  </si>
  <si>
    <t>The decision to invest in a fleet of EVs could be a good PR opportunity for the company if it wants to demonstrate its commitment to the environment.</t>
  </si>
  <si>
    <t>In practice the company may prefer to invest in a mixture of EVs and ICEs</t>
  </si>
  <si>
    <t>If the company has sufficient funds for either fleet available, and feels that it needs to offer its workforce the use of these vehicles, then the model gives a good comparison of the two options.</t>
  </si>
  <si>
    <t>ICE</t>
  </si>
  <si>
    <t>EV</t>
  </si>
  <si>
    <t>(i)</t>
  </si>
  <si>
    <t>(ii)</t>
  </si>
  <si>
    <t>(iii)</t>
  </si>
  <si>
    <t>miles</t>
  </si>
  <si>
    <t>(iv)</t>
  </si>
  <si>
    <t>(v)</t>
  </si>
  <si>
    <t>See separate sheet</t>
  </si>
  <si>
    <t>Spot Rates</t>
  </si>
  <si>
    <t>10 year bond</t>
  </si>
  <si>
    <t>15 year bond</t>
  </si>
  <si>
    <t>25 year bond</t>
  </si>
  <si>
    <t>DF</t>
  </si>
  <si>
    <t>Durations:</t>
  </si>
  <si>
    <t>10Y Bond</t>
  </si>
  <si>
    <t>years</t>
  </si>
  <si>
    <t>15Y Bond</t>
  </si>
  <si>
    <t>25Y Bond</t>
  </si>
  <si>
    <t>The duration of a bond is the average time of the cashflows weighted by</t>
  </si>
  <si>
    <t>present value. The coupon payments of the 4% coupon bond will be a higher</t>
  </si>
  <si>
    <t>proportion of the total proceeds than for the 2% coupon bond. Thus, a greater</t>
  </si>
  <si>
    <t>proportion of the total proceeds of the 4% coupon bond will be received</t>
  </si>
  <si>
    <t>before the end of the term. The average time of the cashflows will be shorter</t>
  </si>
  <si>
    <t>and hence the duration will be lower.</t>
  </si>
  <si>
    <t>Option1</t>
  </si>
  <si>
    <t>Option2</t>
  </si>
  <si>
    <t>RP</t>
  </si>
  <si>
    <t>DF (w RP)</t>
  </si>
  <si>
    <t>Base PV</t>
  </si>
  <si>
    <t>PV Option 1</t>
  </si>
  <si>
    <t>PV Option 2</t>
  </si>
  <si>
    <t>Duration Option 1</t>
  </si>
  <si>
    <t>Duration Option 2</t>
  </si>
  <si>
    <t>The duration of option 1 is very close to the original duration of the bond</t>
  </si>
  <si>
    <t xml:space="preserve">Longer duration, from option 2, may not be suitable for the bond holders </t>
  </si>
  <si>
    <t>because alternative investments may be available and more appropriate</t>
  </si>
  <si>
    <t>credit risk over the longer duration may be greater</t>
  </si>
  <si>
    <t>inflation risk over the longer duration may be greater</t>
  </si>
  <si>
    <t>There may be tax implications because of the differing capital and income</t>
  </si>
  <si>
    <t>Interest rate risk over longer term may be more variable</t>
  </si>
  <si>
    <t>10y Bond</t>
  </si>
  <si>
    <t>15y Bond</t>
  </si>
  <si>
    <t>25y Bond</t>
  </si>
  <si>
    <t>Annual Coupon Rates</t>
  </si>
  <si>
    <t>p.a.</t>
  </si>
  <si>
    <t>Bonds are all redeemed at par.</t>
  </si>
  <si>
    <t>(a)</t>
  </si>
  <si>
    <t>(b)</t>
  </si>
  <si>
    <t>As PV Option 1 &gt; PV Option 2 then bond holders should choose Option 2.</t>
  </si>
  <si>
    <t>The model is only as good as the data and assumptions it uses - in particular government incentives can change suddenly, and it may not be sensible to rely on the current tax break for EVs.</t>
  </si>
  <si>
    <t>By simply comparing the costs involved the model gives a result which can be easily understood by a layperson.</t>
  </si>
  <si>
    <t>The model does not take account of all of the potential costs involved with the fleet eg there may be costs involved in installing charging points for the EVs.</t>
  </si>
  <si>
    <t>The Electric Vehicles will need to be charged.  They will not be available for use, and will require a dedicated parking space, while charging.  The model does not take this into account.</t>
  </si>
  <si>
    <t xml:space="preserve">The model does not take account of potential future changes to costs eg it is not realistic to assume that the future price of electricity, and therefore the running costs for the EVs, is fixed. </t>
  </si>
  <si>
    <t>See table on right</t>
  </si>
  <si>
    <t>Unit fund bonus rate</t>
  </si>
  <si>
    <t>Q2 Base</t>
  </si>
  <si>
    <t>Q1 Base</t>
  </si>
  <si>
    <t>Q1 (i) (ii)</t>
  </si>
  <si>
    <t>Q1 (iii)</t>
  </si>
  <si>
    <t>Q1 (iv)</t>
  </si>
  <si>
    <t>Q1 (v)</t>
  </si>
  <si>
    <t>Q1 Answers</t>
  </si>
  <si>
    <t>Q2 (i)</t>
  </si>
  <si>
    <t>Q2 (ii)</t>
  </si>
  <si>
    <t>Q2 Answers</t>
  </si>
  <si>
    <t>Q3 Base</t>
  </si>
  <si>
    <t>Q3 (i)</t>
  </si>
  <si>
    <t>Q3 (ii)</t>
  </si>
  <si>
    <t>Q3 (iii)</t>
  </si>
  <si>
    <t>Q3 (iv)</t>
  </si>
  <si>
    <t>Q3 (v)</t>
  </si>
  <si>
    <t>Q3 Answers</t>
  </si>
  <si>
    <t>Unit fund value, paid at the end of year of death</t>
  </si>
  <si>
    <t>Unit fund value, paid on maturity</t>
  </si>
  <si>
    <r>
      <t>Surrender is only permitted at</t>
    </r>
    <r>
      <rPr>
        <b/>
        <sz val="11"/>
        <color theme="1"/>
        <rFont val="Calibri"/>
        <family val="2"/>
        <scheme val="minor"/>
      </rPr>
      <t xml:space="preserve"> the end of the year</t>
    </r>
  </si>
  <si>
    <t>The policy ceases on the payment of a benefit</t>
  </si>
  <si>
    <t>Spot Rates for (i), (ii)</t>
  </si>
  <si>
    <t>Spot Rates for (iii onwards)</t>
  </si>
  <si>
    <t>Coupons are paid half yearly,</t>
  </si>
  <si>
    <t xml:space="preserve">with the first coupon due </t>
  </si>
  <si>
    <t>in 6 months' time.</t>
  </si>
  <si>
    <t>Original</t>
  </si>
  <si>
    <t>As PV Option 1 &lt; PV Option 2 then bond holders should choose Option 2.</t>
  </si>
  <si>
    <t>[3]</t>
  </si>
  <si>
    <t>Total</t>
  </si>
  <si>
    <t>per annum, annually in advance, ceasing immediately on death or surrender</t>
  </si>
  <si>
    <t>of the premium in the first year,</t>
  </si>
  <si>
    <t>thereafter</t>
  </si>
  <si>
    <t>per annum, at the start of each year except the first</t>
  </si>
  <si>
    <t>Dependent Mortality</t>
  </si>
  <si>
    <t>Dependent Surrender rate</t>
  </si>
  <si>
    <t>Dependent Rate of Mortality</t>
  </si>
  <si>
    <t>Dependent rate of Surrender</t>
  </si>
  <si>
    <t>Conclusion: -</t>
  </si>
  <si>
    <t>Q2 (iii)</t>
  </si>
  <si>
    <t>[1 mark for each sensible point, up to a maximum of 6 marks.]</t>
  </si>
  <si>
    <t>[4]</t>
  </si>
  <si>
    <t>See separate worksheet.</t>
  </si>
  <si>
    <t xml:space="preserve">Profit Testing assumptions </t>
  </si>
  <si>
    <t>Recommend the Electric Vehicle fleet of cars as it has the lower present value of total cost</t>
  </si>
  <si>
    <t>Recommend EV fleet as it has the lower cost.</t>
  </si>
  <si>
    <t>EV fleet still has the lower cost</t>
  </si>
  <si>
    <t>Dependent Mortality probability</t>
  </si>
  <si>
    <t>Dependent Surrender probability</t>
  </si>
  <si>
    <t>Expected Surrender Profit</t>
  </si>
  <si>
    <t>Expected Claim Expenses</t>
  </si>
  <si>
    <t>Max [6]</t>
  </si>
  <si>
    <t>The company may have significant liabilities that mature in 10 years so for liquidity purposes they may wish to match cashflows</t>
  </si>
  <si>
    <t>Expected Death Payment</t>
  </si>
  <si>
    <t>Expected Maturity Payment</t>
  </si>
  <si>
    <t>Duration original</t>
  </si>
  <si>
    <t>Cashflows</t>
  </si>
  <si>
    <t>PV</t>
  </si>
  <si>
    <t>PV weighted by time</t>
  </si>
  <si>
    <t>10 years</t>
  </si>
  <si>
    <t>15 years</t>
  </si>
  <si>
    <t>25 years</t>
  </si>
  <si>
    <t>Goalseek used to find the required mileage (cell D11) that gives PV of total cost for ICE equal to the PV of total cost for EV such that cell H34 equals zero.</t>
  </si>
  <si>
    <t>The Electric Vehicle fleet of cars still has the lower present value of total cost,</t>
  </si>
  <si>
    <t xml:space="preserve"> therefore still recommend the EV fleet.</t>
  </si>
  <si>
    <t>Option 1</t>
  </si>
  <si>
    <t>Option 2</t>
  </si>
  <si>
    <t>Weighted PV</t>
  </si>
  <si>
    <t>Duration</t>
  </si>
  <si>
    <t>Alternative Method</t>
  </si>
  <si>
    <r>
      <t>qx</t>
    </r>
    <r>
      <rPr>
        <b/>
        <vertAlign val="superscript"/>
        <sz val="10"/>
        <rFont val="Calibri"/>
        <family val="2"/>
        <scheme val="minor"/>
      </rPr>
      <t>d</t>
    </r>
  </si>
  <si>
    <r>
      <t>qx</t>
    </r>
    <r>
      <rPr>
        <b/>
        <vertAlign val="superscript"/>
        <sz val="10"/>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</si>
</sst>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quot;£&quot;* #,##0.00_-;_-&quot;£&quot;* &quot;-&quot;??_-;_-@_-"/>
    <numFmt numFmtId="43" formatCode="_-* #,##0.00_-;\-* #,##0.00_-;_-* &quot;-&quot;??_-;_-@_-"/>
    <numFmt numFmtId="164" formatCode="#,##0.000000"/>
    <numFmt numFmtId="165" formatCode="###\ ##0"/>
    <numFmt numFmtId="166" formatCode="0.0%"/>
    <numFmt numFmtId="167" formatCode="0.00000"/>
    <numFmt numFmtId="168" formatCode="#,##0.00000"/>
    <numFmt numFmtId="169" formatCode="0.000000"/>
    <numFmt numFmtId="170" formatCode="_-* #,##0.00000_-;\-* #,##0.00000_-;_-* &quot;-&quot;??_-;_-@_-"/>
    <numFmt numFmtId="171" formatCode="_-* #,##0_-;\-* #,##0_-;_-* &quot;-&quot;??_-;_-@_-"/>
    <numFmt numFmtId="172" formatCode="_-[$$-409]* #,##0_ ;_-[$$-409]* \-#,##0\ ;_-[$$-409]* &quot;-&quot;??_ ;_-@_ "/>
    <numFmt numFmtId="173" formatCode="_-[$$-409]* #,##0.00_ ;_-[$$-409]* \-#,##0.00\ ;_-[$$-409]* &quot;-&quot;??_ ;_-@_ "/>
    <numFmt numFmtId="174" formatCode="0.000"/>
    <numFmt numFmtId="175" formatCode="#,##0.00000000"/>
    <numFmt numFmtId="176" formatCode="_-[$£-809]* #,##0.00_-;\-[$£-809]* #,##0.00_-;_-[$£-809]* &quot;-&quot;??_-;_-@_-"/>
    <numFmt numFmtId="177" formatCode="_-&quot;£&quot;* #,##0_-;\-&quot;£&quot;* #,##0_-;_-&quot;£&quot;* &quot;-&quot;??_-;_-@_-"/>
    <numFmt numFmtId="178" formatCode="0.0000000"/>
    <numFmt numFmtId="179" formatCode="0.0000%"/>
  </numFmts>
  <fonts count="21" x14ac:knownFonts="1">
    <font>
      <sz val="11"/>
      <color theme="1"/>
      <name val="Calibri"/>
      <family val="2"/>
      <scheme val="minor"/>
    </font>
    <font>
      <sz val="10"/>
      <color theme="1"/>
      <name val="tahoma"/>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vertAlign val="superscript"/>
      <sz val="11"/>
      <color theme="1"/>
      <name val="Calibri"/>
      <family val="2"/>
      <scheme val="minor"/>
    </font>
    <font>
      <sz val="10"/>
      <color theme="1"/>
      <name val="tahoma"/>
      <family val="2"/>
    </font>
    <font>
      <b/>
      <sz val="10"/>
      <color indexed="2"/>
      <name val="Tahoma"/>
      <family val="2"/>
    </font>
    <font>
      <b/>
      <sz val="10"/>
      <color rgb="FFFF0000"/>
      <name val="tahoma"/>
      <family val="2"/>
    </font>
    <font>
      <sz val="10"/>
      <color rgb="FFFF0000"/>
      <name val="tahoma"/>
      <family val="2"/>
    </font>
    <font>
      <sz val="11"/>
      <color rgb="FFFF0000"/>
      <name val="Calibri"/>
      <family val="2"/>
      <scheme val="minor"/>
    </font>
    <font>
      <b/>
      <sz val="8"/>
      <color rgb="FFFF0000"/>
      <name val="tahoma"/>
      <family val="2"/>
    </font>
    <font>
      <b/>
      <vertAlign val="superscript"/>
      <sz val="10"/>
      <name val="Calibri"/>
      <family val="2"/>
      <scheme val="minor"/>
    </font>
    <font>
      <b/>
      <sz val="14"/>
      <name val="Tahoma"/>
      <family val="2"/>
    </font>
    <font>
      <sz val="20"/>
      <name val="Tahoma"/>
      <family val="2"/>
    </font>
    <font>
      <sz val="10"/>
      <name val="Tahoma"/>
      <family val="2"/>
    </font>
    <font>
      <b/>
      <sz val="10"/>
      <name val="Tahoma"/>
      <family val="2"/>
    </font>
    <font>
      <b/>
      <sz val="10"/>
      <color theme="1"/>
      <name val="tahoma"/>
      <family val="2"/>
    </font>
    <font>
      <sz val="8"/>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34998626667073579"/>
        <bgColor theme="0" tint="-0.34998626667073579"/>
      </patternFill>
    </fill>
    <fill>
      <patternFill patternType="solid">
        <fgColor theme="0"/>
        <bgColor theme="0"/>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000"/>
        <bgColor rgb="FFFFC000"/>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theme="1"/>
      </top>
      <bottom style="medium">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cellStyleXfs>
  <cellXfs count="160">
    <xf numFmtId="0" fontId="0" fillId="0" borderId="0" xfId="0"/>
    <xf numFmtId="0" fontId="3" fillId="0" borderId="0" xfId="0" applyFont="1"/>
    <xf numFmtId="0" fontId="5" fillId="0" borderId="1" xfId="0" applyFont="1" applyBorder="1" applyAlignment="1">
      <alignment horizontal="center"/>
    </xf>
    <xf numFmtId="165" fontId="4" fillId="0" borderId="0" xfId="0" applyNumberFormat="1" applyFont="1"/>
    <xf numFmtId="164" fontId="0" fillId="0" borderId="1" xfId="0" applyNumberFormat="1" applyBorder="1" applyAlignment="1">
      <alignment horizontal="center"/>
    </xf>
    <xf numFmtId="0" fontId="0" fillId="0" borderId="0" xfId="0" applyAlignment="1">
      <alignment horizontal="center"/>
    </xf>
    <xf numFmtId="10" fontId="0" fillId="0" borderId="0" xfId="0" applyNumberFormat="1"/>
    <xf numFmtId="0" fontId="6" fillId="0" borderId="0" xfId="0" applyFont="1" applyAlignment="1">
      <alignment horizontal="center"/>
    </xf>
    <xf numFmtId="166" fontId="0" fillId="3" borderId="0" xfId="0" applyNumberFormat="1" applyFill="1" applyAlignment="1">
      <alignment horizontal="center"/>
    </xf>
    <xf numFmtId="9" fontId="0" fillId="3" borderId="0" xfId="0" applyNumberFormat="1" applyFill="1" applyAlignment="1">
      <alignment horizontal="center"/>
    </xf>
    <xf numFmtId="0" fontId="0" fillId="0" borderId="0" xfId="0" applyAlignment="1">
      <alignment vertical="center"/>
    </xf>
    <xf numFmtId="0" fontId="0" fillId="3" borderId="0" xfId="0" applyFill="1" applyAlignment="1">
      <alignment horizontal="center"/>
    </xf>
    <xf numFmtId="167" fontId="0" fillId="0" borderId="0" xfId="0" applyNumberFormat="1"/>
    <xf numFmtId="0" fontId="4" fillId="0" borderId="0" xfId="0" applyFont="1"/>
    <xf numFmtId="0" fontId="0" fillId="0" borderId="0" xfId="0" applyAlignment="1">
      <alignment horizontal="left"/>
    </xf>
    <xf numFmtId="0" fontId="6" fillId="0" borderId="0" xfId="0" applyFont="1"/>
    <xf numFmtId="0" fontId="5" fillId="0" borderId="0" xfId="0" applyFont="1" applyAlignment="1">
      <alignment horizontal="center"/>
    </xf>
    <xf numFmtId="0" fontId="4" fillId="0" borderId="0" xfId="0" applyFont="1" applyAlignment="1">
      <alignment horizontal="center"/>
    </xf>
    <xf numFmtId="0" fontId="5" fillId="3" borderId="2" xfId="0" applyFont="1" applyFill="1" applyBorder="1"/>
    <xf numFmtId="0" fontId="5" fillId="0" borderId="0" xfId="0" applyFont="1"/>
    <xf numFmtId="2" fontId="5" fillId="0" borderId="0" xfId="0" applyNumberFormat="1" applyFont="1" applyAlignment="1">
      <alignment horizontal="center"/>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0" xfId="0" applyFont="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3" xfId="0" applyFont="1" applyBorder="1" applyAlignment="1">
      <alignment horizontal="center" wrapText="1"/>
    </xf>
    <xf numFmtId="4" fontId="4" fillId="0" borderId="8" xfId="0" applyNumberFormat="1" applyFont="1" applyBorder="1" applyAlignment="1">
      <alignment horizontal="center"/>
    </xf>
    <xf numFmtId="168" fontId="4" fillId="0" borderId="8" xfId="0" applyNumberFormat="1" applyFont="1" applyBorder="1" applyAlignment="1">
      <alignment horizontal="center"/>
    </xf>
    <xf numFmtId="4" fontId="4" fillId="0" borderId="0" xfId="0" applyNumberFormat="1" applyFont="1" applyAlignment="1">
      <alignment horizontal="center"/>
    </xf>
    <xf numFmtId="169" fontId="4" fillId="0" borderId="8" xfId="0" applyNumberFormat="1" applyFont="1" applyBorder="1" applyAlignment="1">
      <alignment horizontal="center"/>
    </xf>
    <xf numFmtId="2" fontId="4" fillId="0" borderId="8" xfId="3" applyNumberFormat="1" applyFont="1" applyBorder="1" applyAlignment="1">
      <alignment horizontal="center"/>
    </xf>
    <xf numFmtId="2" fontId="4" fillId="0" borderId="9" xfId="3" applyNumberFormat="1" applyFont="1" applyBorder="1" applyAlignment="1">
      <alignment horizontal="center"/>
    </xf>
    <xf numFmtId="0" fontId="4" fillId="0" borderId="0" xfId="3" applyFont="1" applyAlignment="1">
      <alignment horizontal="center"/>
    </xf>
    <xf numFmtId="168" fontId="4" fillId="0" borderId="0" xfId="0" applyNumberFormat="1" applyFont="1" applyAlignment="1">
      <alignment horizontal="center"/>
    </xf>
    <xf numFmtId="2" fontId="4" fillId="0" borderId="12" xfId="3" applyNumberFormat="1" applyFont="1" applyBorder="1" applyAlignment="1">
      <alignment horizontal="center"/>
    </xf>
    <xf numFmtId="4" fontId="4" fillId="0" borderId="15" xfId="0" applyNumberFormat="1" applyFont="1" applyBorder="1" applyAlignment="1">
      <alignment horizontal="center"/>
    </xf>
    <xf numFmtId="168" fontId="4" fillId="0" borderId="15" xfId="0" applyNumberFormat="1" applyFont="1" applyBorder="1" applyAlignment="1">
      <alignment horizontal="center"/>
    </xf>
    <xf numFmtId="169" fontId="4" fillId="0" borderId="15" xfId="0" applyNumberFormat="1" applyFont="1" applyBorder="1" applyAlignment="1">
      <alignment horizontal="center"/>
    </xf>
    <xf numFmtId="2" fontId="4" fillId="0" borderId="15" xfId="3" applyNumberFormat="1" applyFont="1" applyBorder="1" applyAlignment="1">
      <alignment horizontal="center"/>
    </xf>
    <xf numFmtId="2" fontId="4" fillId="0" borderId="16" xfId="3" applyNumberFormat="1" applyFont="1" applyBorder="1" applyAlignment="1">
      <alignment horizontal="center"/>
    </xf>
    <xf numFmtId="0" fontId="4" fillId="0" borderId="10" xfId="0" applyFont="1" applyBorder="1" applyAlignment="1">
      <alignment horizontal="center"/>
    </xf>
    <xf numFmtId="0" fontId="4" fillId="0" borderId="13" xfId="0" applyFont="1" applyBorder="1" applyAlignment="1">
      <alignment horizontal="center"/>
    </xf>
    <xf numFmtId="164" fontId="5" fillId="0" borderId="1" xfId="0" applyNumberFormat="1" applyFont="1" applyBorder="1" applyAlignment="1">
      <alignment horizontal="center"/>
    </xf>
    <xf numFmtId="0" fontId="0" fillId="0" borderId="1" xfId="0" applyBorder="1"/>
    <xf numFmtId="0" fontId="0" fillId="0" borderId="0" xfId="0" applyAlignment="1">
      <alignment horizontal="right"/>
    </xf>
    <xf numFmtId="10" fontId="0" fillId="0" borderId="0" xfId="2" applyNumberFormat="1" applyFont="1"/>
    <xf numFmtId="0" fontId="7" fillId="0" borderId="0" xfId="0" applyFont="1" applyAlignment="1">
      <alignment horizontal="right"/>
    </xf>
    <xf numFmtId="170" fontId="0" fillId="0" borderId="0" xfId="1" applyNumberFormat="1" applyFont="1"/>
    <xf numFmtId="0" fontId="3" fillId="0" borderId="1" xfId="0" applyFont="1" applyBorder="1"/>
    <xf numFmtId="0" fontId="3" fillId="0" borderId="1" xfId="0" applyFont="1" applyBorder="1" applyAlignment="1">
      <alignment wrapText="1"/>
    </xf>
    <xf numFmtId="171" fontId="0" fillId="0" borderId="1" xfId="1" applyNumberFormat="1" applyFont="1" applyBorder="1"/>
    <xf numFmtId="43" fontId="0" fillId="0" borderId="1" xfId="0" applyNumberFormat="1" applyBorder="1"/>
    <xf numFmtId="171" fontId="0" fillId="0" borderId="1" xfId="0" applyNumberFormat="1" applyBorder="1"/>
    <xf numFmtId="1" fontId="0" fillId="5" borderId="0" xfId="0" applyNumberFormat="1" applyFill="1"/>
    <xf numFmtId="0" fontId="3" fillId="0" borderId="0" xfId="0" applyFont="1" applyAlignment="1">
      <alignment horizontal="right"/>
    </xf>
    <xf numFmtId="171" fontId="0" fillId="0" borderId="0" xfId="0" applyNumberFormat="1" applyAlignment="1">
      <alignment horizontal="right"/>
    </xf>
    <xf numFmtId="9" fontId="0" fillId="0" borderId="0" xfId="0" applyNumberFormat="1"/>
    <xf numFmtId="0" fontId="3" fillId="0" borderId="17" xfId="0" applyFont="1" applyBorder="1"/>
    <xf numFmtId="171" fontId="0" fillId="0" borderId="17" xfId="0" applyNumberFormat="1" applyBorder="1"/>
    <xf numFmtId="172" fontId="0" fillId="0" borderId="0" xfId="0" applyNumberFormat="1"/>
    <xf numFmtId="1" fontId="0" fillId="0" borderId="0" xfId="0" applyNumberFormat="1"/>
    <xf numFmtId="0" fontId="8" fillId="0" borderId="0" xfId="0" applyFont="1"/>
    <xf numFmtId="0" fontId="9" fillId="7" borderId="0" xfId="0" applyFont="1" applyFill="1"/>
    <xf numFmtId="0" fontId="10" fillId="0" borderId="0" xfId="0" applyFont="1"/>
    <xf numFmtId="0" fontId="11" fillId="0" borderId="0" xfId="0" applyFont="1"/>
    <xf numFmtId="174" fontId="0" fillId="0" borderId="0" xfId="0" applyNumberFormat="1"/>
    <xf numFmtId="2" fontId="0" fillId="0" borderId="0" xfId="0" applyNumberFormat="1"/>
    <xf numFmtId="2" fontId="4" fillId="0" borderId="0" xfId="3" applyNumberFormat="1" applyFont="1" applyAlignment="1">
      <alignment horizontal="center"/>
    </xf>
    <xf numFmtId="169" fontId="4" fillId="0" borderId="0" xfId="0" applyNumberFormat="1" applyFont="1" applyAlignment="1">
      <alignment horizontal="center"/>
    </xf>
    <xf numFmtId="0" fontId="13" fillId="0" borderId="0" xfId="0" applyFont="1"/>
    <xf numFmtId="0" fontId="12" fillId="0" borderId="0" xfId="0" applyFont="1" applyAlignment="1">
      <alignment horizontal="center"/>
    </xf>
    <xf numFmtId="0" fontId="12" fillId="0" borderId="0" xfId="0" applyFont="1"/>
    <xf numFmtId="175" fontId="0" fillId="0" borderId="1" xfId="0" applyNumberFormat="1" applyBorder="1" applyAlignment="1">
      <alignment horizontal="center"/>
    </xf>
    <xf numFmtId="175" fontId="0" fillId="0" borderId="17" xfId="0" applyNumberFormat="1" applyBorder="1" applyAlignment="1">
      <alignment horizontal="center"/>
    </xf>
    <xf numFmtId="164" fontId="0" fillId="0" borderId="17" xfId="0" applyNumberFormat="1" applyBorder="1" applyAlignment="1">
      <alignment horizontal="center"/>
    </xf>
    <xf numFmtId="176" fontId="5" fillId="0" borderId="3" xfId="0" applyNumberFormat="1" applyFont="1" applyBorder="1" applyAlignment="1">
      <alignment horizontal="center"/>
    </xf>
    <xf numFmtId="176" fontId="4" fillId="0" borderId="0" xfId="0" applyNumberFormat="1" applyFont="1"/>
    <xf numFmtId="177" fontId="0" fillId="3" borderId="0" xfId="4" applyNumberFormat="1" applyFont="1" applyFill="1" applyAlignment="1">
      <alignment horizontal="center"/>
    </xf>
    <xf numFmtId="175" fontId="4" fillId="0" borderId="8" xfId="0" applyNumberFormat="1" applyFont="1" applyBorder="1" applyAlignment="1">
      <alignment horizontal="center"/>
    </xf>
    <xf numFmtId="175" fontId="4" fillId="0" borderId="0" xfId="0" applyNumberFormat="1" applyFont="1" applyAlignment="1">
      <alignment horizontal="center"/>
    </xf>
    <xf numFmtId="175" fontId="4" fillId="0" borderId="15" xfId="0" applyNumberFormat="1" applyFont="1" applyBorder="1" applyAlignment="1">
      <alignment horizontal="center"/>
    </xf>
    <xf numFmtId="44" fontId="4" fillId="0" borderId="7" xfId="4" applyFont="1" applyBorder="1" applyAlignment="1">
      <alignment horizontal="center"/>
    </xf>
    <xf numFmtId="44" fontId="4" fillId="0" borderId="8" xfId="4" applyFont="1" applyBorder="1" applyAlignment="1">
      <alignment horizontal="center"/>
    </xf>
    <xf numFmtId="44" fontId="4" fillId="0" borderId="9" xfId="4" applyFont="1" applyBorder="1" applyAlignment="1">
      <alignment horizontal="center"/>
    </xf>
    <xf numFmtId="44" fontId="4" fillId="0" borderId="11" xfId="4" applyFont="1" applyBorder="1" applyAlignment="1">
      <alignment horizontal="center"/>
    </xf>
    <xf numFmtId="44" fontId="4" fillId="0" borderId="0" xfId="4" applyFont="1" applyAlignment="1">
      <alignment horizontal="center"/>
    </xf>
    <xf numFmtId="44" fontId="4" fillId="0" borderId="12" xfId="4" applyFont="1" applyBorder="1" applyAlignment="1">
      <alignment horizontal="center"/>
    </xf>
    <xf numFmtId="44" fontId="4" fillId="0" borderId="14" xfId="4" applyFont="1" applyBorder="1" applyAlignment="1">
      <alignment horizontal="center"/>
    </xf>
    <xf numFmtId="44" fontId="4" fillId="0" borderId="15" xfId="4" applyFont="1" applyBorder="1" applyAlignment="1">
      <alignment horizontal="center"/>
    </xf>
    <xf numFmtId="44" fontId="4" fillId="0" borderId="16" xfId="4" applyFont="1" applyBorder="1" applyAlignment="1">
      <alignment horizontal="center"/>
    </xf>
    <xf numFmtId="44" fontId="4" fillId="4" borderId="8" xfId="4" applyFont="1" applyFill="1" applyBorder="1" applyAlignment="1">
      <alignment horizontal="center"/>
    </xf>
    <xf numFmtId="44" fontId="4" fillId="4" borderId="15" xfId="4" applyFont="1" applyFill="1" applyBorder="1" applyAlignment="1">
      <alignment horizontal="center"/>
    </xf>
    <xf numFmtId="166" fontId="0" fillId="9" borderId="0" xfId="0" applyNumberFormat="1" applyFill="1" applyAlignment="1">
      <alignment horizontal="center"/>
    </xf>
    <xf numFmtId="0" fontId="0" fillId="10" borderId="0" xfId="0" applyFill="1" applyAlignment="1">
      <alignment horizontal="right"/>
    </xf>
    <xf numFmtId="0" fontId="7" fillId="10" borderId="0" xfId="0" applyFont="1" applyFill="1" applyAlignment="1">
      <alignment horizontal="right"/>
    </xf>
    <xf numFmtId="0" fontId="3" fillId="0" borderId="1" xfId="0" applyFont="1" applyBorder="1" applyAlignment="1">
      <alignment horizontal="center"/>
    </xf>
    <xf numFmtId="0" fontId="15" fillId="12" borderId="18" xfId="0" applyFont="1" applyFill="1" applyBorder="1" applyAlignment="1">
      <alignment horizontal="left" vertical="center" indent="2"/>
    </xf>
    <xf numFmtId="0" fontId="16" fillId="12" borderId="18" xfId="0" applyFont="1" applyFill="1" applyBorder="1"/>
    <xf numFmtId="0" fontId="0" fillId="0" borderId="1" xfId="0" applyBorder="1" applyAlignment="1">
      <alignment vertical="center" wrapText="1"/>
    </xf>
    <xf numFmtId="0" fontId="0" fillId="0" borderId="0" xfId="0" applyAlignment="1">
      <alignment horizontal="left" indent="1"/>
    </xf>
    <xf numFmtId="0" fontId="6" fillId="0" borderId="0" xfId="0" applyFont="1" applyAlignment="1">
      <alignment horizontal="left" indent="1"/>
    </xf>
    <xf numFmtId="0" fontId="17" fillId="13" borderId="1" xfId="0" applyFont="1" applyFill="1" applyBorder="1" applyAlignment="1">
      <alignment horizontal="center"/>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 fillId="0" borderId="0" xfId="0" applyFont="1"/>
    <xf numFmtId="167" fontId="1" fillId="0" borderId="0" xfId="0" applyNumberFormat="1" applyFont="1"/>
    <xf numFmtId="10" fontId="1" fillId="0" borderId="0" xfId="0" applyNumberFormat="1" applyFont="1"/>
    <xf numFmtId="173" fontId="1" fillId="0" borderId="0" xfId="4" applyNumberFormat="1" applyFont="1"/>
    <xf numFmtId="173" fontId="1" fillId="0" borderId="0" xfId="0" applyNumberFormat="1" applyFont="1"/>
    <xf numFmtId="10" fontId="1" fillId="0" borderId="0" xfId="2" applyNumberFormat="1" applyFont="1"/>
    <xf numFmtId="178" fontId="4" fillId="0" borderId="8" xfId="3" applyNumberFormat="1" applyFont="1" applyBorder="1" applyAlignment="1">
      <alignment horizontal="center"/>
    </xf>
    <xf numFmtId="178" fontId="4" fillId="0" borderId="0" xfId="3" applyNumberFormat="1" applyFont="1" applyAlignment="1">
      <alignment horizontal="center"/>
    </xf>
    <xf numFmtId="178" fontId="4" fillId="0" borderId="15" xfId="3" applyNumberFormat="1" applyFont="1" applyBorder="1" applyAlignment="1">
      <alignment horizontal="center"/>
    </xf>
    <xf numFmtId="0" fontId="18" fillId="13" borderId="1" xfId="0" applyFont="1" applyFill="1" applyBorder="1" applyAlignment="1">
      <alignment horizontal="center"/>
    </xf>
    <xf numFmtId="0" fontId="5" fillId="0" borderId="1" xfId="0" applyFont="1" applyBorder="1" applyAlignment="1">
      <alignment horizontal="left" vertical="center" indent="1"/>
    </xf>
    <xf numFmtId="0" fontId="10" fillId="0" borderId="0" xfId="0" applyFont="1" applyAlignment="1">
      <alignment horizontal="center"/>
    </xf>
    <xf numFmtId="174" fontId="6" fillId="0" borderId="0" xfId="0" applyNumberFormat="1" applyFont="1"/>
    <xf numFmtId="0" fontId="16" fillId="12" borderId="18" xfId="0" applyFont="1" applyFill="1" applyBorder="1" applyAlignment="1">
      <alignment horizontal="center"/>
    </xf>
    <xf numFmtId="0" fontId="5" fillId="0" borderId="12" xfId="0" applyFont="1" applyBorder="1" applyAlignment="1">
      <alignment horizontal="center" wrapText="1"/>
    </xf>
    <xf numFmtId="0" fontId="18" fillId="6" borderId="1" xfId="0" applyFont="1" applyFill="1" applyBorder="1" applyAlignment="1">
      <alignment horizontal="center" vertical="center"/>
    </xf>
    <xf numFmtId="0" fontId="18" fillId="6" borderId="19"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0" xfId="0" applyFont="1" applyFill="1" applyAlignment="1">
      <alignment horizontal="center" vertical="center"/>
    </xf>
    <xf numFmtId="0" fontId="18" fillId="6" borderId="1" xfId="0" applyFont="1" applyFill="1" applyBorder="1" applyAlignment="1">
      <alignment horizontal="center" vertical="center" wrapText="1"/>
    </xf>
    <xf numFmtId="0" fontId="1" fillId="0" borderId="22" xfId="0" applyFont="1" applyBorder="1"/>
    <xf numFmtId="173" fontId="0" fillId="0" borderId="0" xfId="0" applyNumberFormat="1"/>
    <xf numFmtId="0" fontId="18" fillId="6" borderId="19" xfId="0" applyFont="1" applyFill="1" applyBorder="1" applyAlignment="1">
      <alignment horizontal="center" vertical="center" wrapText="1"/>
    </xf>
    <xf numFmtId="173" fontId="1" fillId="0" borderId="22" xfId="0" applyNumberFormat="1" applyFont="1" applyBorder="1"/>
    <xf numFmtId="0" fontId="18" fillId="0" borderId="0" xfId="0" applyFont="1"/>
    <xf numFmtId="10" fontId="18" fillId="0" borderId="0" xfId="0" applyNumberFormat="1" applyFont="1"/>
    <xf numFmtId="173" fontId="18" fillId="0" borderId="0" xfId="0" applyNumberFormat="1" applyFont="1"/>
    <xf numFmtId="174" fontId="4" fillId="0" borderId="0" xfId="0" applyNumberFormat="1" applyFont="1"/>
    <xf numFmtId="0" fontId="6" fillId="0" borderId="21" xfId="0" applyFont="1" applyBorder="1"/>
    <xf numFmtId="0" fontId="3" fillId="0" borderId="0" xfId="0" applyFont="1" applyAlignment="1">
      <alignment horizontal="center"/>
    </xf>
    <xf numFmtId="0" fontId="3" fillId="0" borderId="0" xfId="0" applyFont="1" applyAlignment="1">
      <alignment horizontal="center" wrapText="1"/>
    </xf>
    <xf numFmtId="179" fontId="0" fillId="0" borderId="0" xfId="2" applyNumberFormat="1" applyFont="1"/>
    <xf numFmtId="2" fontId="6" fillId="0" borderId="0" xfId="0" applyNumberFormat="1" applyFont="1" applyAlignment="1">
      <alignment horizontal="center"/>
    </xf>
    <xf numFmtId="0" fontId="6" fillId="0" borderId="15" xfId="0" applyFont="1" applyBorder="1" applyAlignment="1">
      <alignment horizontal="center"/>
    </xf>
    <xf numFmtId="0" fontId="18" fillId="13" borderId="19" xfId="0" applyFont="1" applyFill="1" applyBorder="1" applyAlignment="1">
      <alignment horizontal="center"/>
    </xf>
    <xf numFmtId="0" fontId="18" fillId="13" borderId="20" xfId="0" applyFont="1" applyFill="1" applyBorder="1" applyAlignment="1">
      <alignment horizontal="center"/>
    </xf>
    <xf numFmtId="0" fontId="3" fillId="8" borderId="1" xfId="0" applyFont="1" applyFill="1" applyBorder="1" applyAlignment="1">
      <alignment horizontal="center"/>
    </xf>
    <xf numFmtId="0" fontId="3" fillId="11" borderId="1" xfId="0" applyFont="1" applyFill="1" applyBorder="1" applyAlignment="1">
      <alignment horizontal="center"/>
    </xf>
    <xf numFmtId="0" fontId="3" fillId="0" borderId="1" xfId="0" applyFont="1" applyBorder="1" applyAlignment="1">
      <alignment horizontal="center"/>
    </xf>
    <xf numFmtId="0" fontId="3" fillId="2" borderId="0" xfId="0" applyFont="1" applyFill="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173" fontId="19" fillId="13" borderId="19" xfId="4" applyNumberFormat="1" applyFont="1" applyFill="1" applyBorder="1" applyAlignment="1">
      <alignment horizontal="center"/>
    </xf>
    <xf numFmtId="173" fontId="19" fillId="13" borderId="23" xfId="4" applyNumberFormat="1" applyFont="1" applyFill="1" applyBorder="1" applyAlignment="1">
      <alignment horizontal="center"/>
    </xf>
    <xf numFmtId="173" fontId="19" fillId="13" borderId="20" xfId="4" applyNumberFormat="1" applyFont="1" applyFill="1" applyBorder="1" applyAlignment="1">
      <alignment horizontal="center"/>
    </xf>
    <xf numFmtId="173" fontId="10" fillId="0" borderId="0" xfId="4" applyNumberFormat="1" applyFont="1" applyAlignment="1">
      <alignment horizontal="center"/>
    </xf>
    <xf numFmtId="0" fontId="6" fillId="0" borderId="21" xfId="0" applyFont="1" applyBorder="1" applyAlignment="1">
      <alignment horizontal="center"/>
    </xf>
    <xf numFmtId="0" fontId="18" fillId="6" borderId="19"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18" fillId="6" borderId="0" xfId="0" applyFont="1" applyFill="1" applyAlignment="1">
      <alignment horizontal="center" vertical="center"/>
    </xf>
  </cellXfs>
  <cellStyles count="5">
    <cellStyle name="Comma" xfId="1" builtinId="3"/>
    <cellStyle name="Currency" xfId="4" builtinId="4"/>
    <cellStyle name="Normal" xfId="0" builtinId="0"/>
    <cellStyle name="Normal 8" xfId="3" xr:uid="{00000000-0005-0000-0000-000003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A5" sqref="A5"/>
    </sheetView>
  </sheetViews>
  <sheetFormatPr defaultRowHeight="15" x14ac:dyDescent="0.25"/>
  <cols>
    <col min="2" max="2" width="38.5703125" bestFit="1" customWidth="1"/>
    <col min="3" max="3" width="32.42578125" customWidth="1"/>
    <col min="4" max="4" width="31.28515625" customWidth="1"/>
  </cols>
  <sheetData>
    <row r="1" spans="1:4" ht="15.75" thickBot="1" x14ac:dyDescent="0.3"/>
    <row r="2" spans="1:4" s="100" customFormat="1" ht="26.25" thickBot="1" x14ac:dyDescent="0.4">
      <c r="A2" s="99" t="s">
        <v>143</v>
      </c>
    </row>
    <row r="5" spans="1:4" x14ac:dyDescent="0.25">
      <c r="C5" s="141" t="s">
        <v>41</v>
      </c>
      <c r="D5" s="142"/>
    </row>
    <row r="6" spans="1:4" x14ac:dyDescent="0.25">
      <c r="C6" s="116" t="s">
        <v>42</v>
      </c>
      <c r="D6" s="116" t="s">
        <v>43</v>
      </c>
    </row>
    <row r="7" spans="1:4" ht="72" customHeight="1" x14ac:dyDescent="0.25">
      <c r="B7" s="117" t="s">
        <v>44</v>
      </c>
      <c r="C7" s="101" t="s">
        <v>45</v>
      </c>
      <c r="D7" s="101" t="s">
        <v>46</v>
      </c>
    </row>
    <row r="8" spans="1:4" ht="72" customHeight="1" x14ac:dyDescent="0.25">
      <c r="B8" s="117" t="s">
        <v>48</v>
      </c>
      <c r="C8" s="101" t="s">
        <v>49</v>
      </c>
      <c r="D8" s="101" t="s">
        <v>50</v>
      </c>
    </row>
    <row r="9" spans="1:4" ht="72" customHeight="1" x14ac:dyDescent="0.25">
      <c r="B9" s="117" t="s">
        <v>51</v>
      </c>
      <c r="C9" s="101" t="s">
        <v>52</v>
      </c>
      <c r="D9" s="101" t="s">
        <v>53</v>
      </c>
    </row>
    <row r="10" spans="1:4" ht="72" customHeight="1" x14ac:dyDescent="0.25">
      <c r="B10" s="117" t="s">
        <v>54</v>
      </c>
      <c r="C10" s="101" t="s">
        <v>55</v>
      </c>
      <c r="D10" s="101" t="s">
        <v>47</v>
      </c>
    </row>
  </sheetData>
  <mergeCells count="1">
    <mergeCell ref="C5:D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F169-4F9C-4607-83F3-96B7A473D875}">
  <dimension ref="A1:K29"/>
  <sheetViews>
    <sheetView workbookViewId="0"/>
  </sheetViews>
  <sheetFormatPr defaultRowHeight="15" x14ac:dyDescent="0.25"/>
  <cols>
    <col min="1" max="1" width="3.28515625" style="13" customWidth="1"/>
    <col min="2" max="2" width="9.140625" style="17"/>
    <col min="3" max="3" width="12.85546875" style="13" customWidth="1"/>
    <col min="4" max="4" width="12.5703125" style="13" customWidth="1"/>
    <col min="5" max="5" width="17.5703125" style="13" bestFit="1" customWidth="1"/>
    <col min="6" max="6" width="13.140625" style="13" customWidth="1"/>
    <col min="7" max="8" width="9.140625" style="13"/>
    <col min="9" max="10" width="9.140625" style="74"/>
    <col min="11" max="16384" width="9.140625" style="13"/>
  </cols>
  <sheetData>
    <row r="1" spans="1:10" ht="15.75" thickBot="1" x14ac:dyDescent="0.3"/>
    <row r="2" spans="1:10" s="100" customFormat="1" ht="26.25" thickBot="1" x14ac:dyDescent="0.4">
      <c r="A2" s="99" t="s">
        <v>181</v>
      </c>
    </row>
    <row r="3" spans="1:10" ht="15.75" thickBot="1" x14ac:dyDescent="0.3"/>
    <row r="4" spans="1:10" ht="15.75" thickBot="1" x14ac:dyDescent="0.3">
      <c r="F4" s="18" t="s">
        <v>24</v>
      </c>
      <c r="G4" s="78">
        <f>SUM(G9:G23)</f>
        <v>136.14225180385296</v>
      </c>
      <c r="H4" s="7" t="s">
        <v>2</v>
      </c>
    </row>
    <row r="5" spans="1:10" x14ac:dyDescent="0.25">
      <c r="F5" s="19"/>
      <c r="G5" s="20"/>
      <c r="H5" s="16"/>
    </row>
    <row r="6" spans="1:10" s="74" customFormat="1" ht="15.75" thickBot="1" x14ac:dyDescent="0.3">
      <c r="B6" s="73"/>
      <c r="C6" s="7"/>
      <c r="D6" s="7" t="s">
        <v>3</v>
      </c>
      <c r="E6" s="7" t="s">
        <v>2</v>
      </c>
      <c r="F6" s="7" t="s">
        <v>2</v>
      </c>
      <c r="G6" s="139" t="s">
        <v>2</v>
      </c>
    </row>
    <row r="7" spans="1:10" ht="15.75" thickBot="1" x14ac:dyDescent="0.3">
      <c r="C7" s="147"/>
      <c r="D7" s="148"/>
      <c r="E7" s="148"/>
      <c r="F7" s="148"/>
      <c r="G7" s="149"/>
    </row>
    <row r="8" spans="1:10" s="25" customFormat="1" ht="50.25" customHeight="1" thickBot="1" x14ac:dyDescent="0.3">
      <c r="B8" s="21" t="s">
        <v>27</v>
      </c>
      <c r="C8" s="25" t="s">
        <v>35</v>
      </c>
      <c r="D8" s="25" t="s">
        <v>36</v>
      </c>
      <c r="E8" s="25" t="s">
        <v>37</v>
      </c>
      <c r="F8" s="25" t="s">
        <v>38</v>
      </c>
      <c r="G8" s="121" t="s">
        <v>39</v>
      </c>
    </row>
    <row r="9" spans="1:10" x14ac:dyDescent="0.25">
      <c r="B9" s="43">
        <v>1</v>
      </c>
      <c r="C9" s="29">
        <f>'Q2 (ii)'!N9</f>
        <v>344.59310448000002</v>
      </c>
      <c r="D9" s="32">
        <v>1</v>
      </c>
      <c r="E9" s="33">
        <f>C9*D9</f>
        <v>344.59310448000002</v>
      </c>
      <c r="F9" s="113">
        <f>(1+'Q2 Base'!$C$29)^-B9</f>
        <v>0.94339622641509424</v>
      </c>
      <c r="G9" s="34">
        <f>E9*F9</f>
        <v>325.08783441509433</v>
      </c>
      <c r="H9" s="35"/>
      <c r="I9" s="35"/>
      <c r="J9" s="13"/>
    </row>
    <row r="10" spans="1:10" x14ac:dyDescent="0.25">
      <c r="B10" s="43">
        <v>2</v>
      </c>
      <c r="C10" s="31">
        <f>'Q2 (ii)'!N10</f>
        <v>-170.34967738305281</v>
      </c>
      <c r="D10" s="71">
        <f>D9*(1-'Q2 (ii)'!H9-'Q2 (ii)'!I9)</f>
        <v>0.95764492999999995</v>
      </c>
      <c r="E10" s="70">
        <f t="shared" ref="E10:E23" si="0">C10*D10</f>
        <v>-163.13450487301617</v>
      </c>
      <c r="F10" s="114">
        <f>(1+'Q2 Base'!$C$29)^-B10</f>
        <v>0.88999644001423983</v>
      </c>
      <c r="G10" s="37">
        <f t="shared" ref="G10:G23" si="1">E10*F10</f>
        <v>-145.18912858047005</v>
      </c>
      <c r="H10" s="35"/>
      <c r="I10" s="35"/>
      <c r="J10" s="13"/>
    </row>
    <row r="11" spans="1:10" x14ac:dyDescent="0.25">
      <c r="B11" s="43">
        <v>3</v>
      </c>
      <c r="C11" s="31">
        <f>'Q2 (ii)'!N11</f>
        <v>-133.21465438456983</v>
      </c>
      <c r="D11" s="71">
        <f>D10*(1-'Q2 (ii)'!H10-'Q2 (ii)'!I10)</f>
        <v>0.91676601748468434</v>
      </c>
      <c r="E11" s="70">
        <f t="shared" si="0"/>
        <v>-122.12666817074073</v>
      </c>
      <c r="F11" s="114">
        <f>(1+'Q2 Base'!$C$29)^-B11</f>
        <v>0.8396192830323016</v>
      </c>
      <c r="G11" s="37">
        <f t="shared" si="1"/>
        <v>-102.53990556864115</v>
      </c>
      <c r="I11" s="13"/>
      <c r="J11" s="13"/>
    </row>
    <row r="12" spans="1:10" x14ac:dyDescent="0.25">
      <c r="B12" s="43">
        <v>4</v>
      </c>
      <c r="C12" s="31">
        <f>'Q2 (ii)'!N12</f>
        <v>-95.44130528343365</v>
      </c>
      <c r="D12" s="71">
        <f>D11*(1-'Q2 (ii)'!H11-'Q2 (ii)'!I11)</f>
        <v>0.87728541560042494</v>
      </c>
      <c r="E12" s="70">
        <f t="shared" si="0"/>
        <v>-83.729265171024124</v>
      </c>
      <c r="F12" s="114">
        <f>(1+'Q2 Base'!$C$29)^-B12</f>
        <v>0.79209366323802044</v>
      </c>
      <c r="G12" s="37">
        <f t="shared" si="1"/>
        <v>-66.3214203695441</v>
      </c>
      <c r="I12" s="13"/>
      <c r="J12" s="13"/>
    </row>
    <row r="13" spans="1:10" x14ac:dyDescent="0.25">
      <c r="B13" s="43">
        <v>5</v>
      </c>
      <c r="C13" s="31">
        <f>'Q2 (ii)'!N13</f>
        <v>-57.020671720633423</v>
      </c>
      <c r="D13" s="71">
        <f>D12*(1-'Q2 (ii)'!H12-'Q2 (ii)'!I12)</f>
        <v>0.83913073762648516</v>
      </c>
      <c r="E13" s="70">
        <f t="shared" si="0"/>
        <v>-47.847798320892785</v>
      </c>
      <c r="F13" s="114">
        <f>(1+'Q2 Base'!$C$29)^-B13</f>
        <v>0.74725817286605689</v>
      </c>
      <c r="G13" s="37">
        <f t="shared" si="1"/>
        <v>-35.75465834893393</v>
      </c>
      <c r="I13" s="13"/>
      <c r="J13" s="13"/>
    </row>
    <row r="14" spans="1:10" x14ac:dyDescent="0.25">
      <c r="B14" s="43">
        <v>6</v>
      </c>
      <c r="C14" s="31">
        <f>'Q2 (ii)'!N14</f>
        <v>-31.725712687652578</v>
      </c>
      <c r="D14" s="71">
        <f>D13*(1-'Q2 (ii)'!H13-'Q2 (ii)'!I13)</f>
        <v>0.80223118857023734</v>
      </c>
      <c r="E14" s="70">
        <f t="shared" si="0"/>
        <v>-25.451356197653386</v>
      </c>
      <c r="F14" s="114">
        <f>(1+'Q2 Base'!$C$29)^-B14</f>
        <v>0.70496054043967626</v>
      </c>
      <c r="G14" s="37">
        <f t="shared" si="1"/>
        <v>-17.942201820020436</v>
      </c>
      <c r="I14" s="13"/>
      <c r="J14" s="13"/>
    </row>
    <row r="15" spans="1:10" x14ac:dyDescent="0.25">
      <c r="B15" s="43">
        <v>7</v>
      </c>
      <c r="C15" s="31">
        <f>'Q2 (ii)'!N15</f>
        <v>4.711196986457221</v>
      </c>
      <c r="D15" s="71">
        <f>D14*(1-'Q2 (ii)'!H14-'Q2 (ii)'!I14)</f>
        <v>0.77454051847817518</v>
      </c>
      <c r="E15" s="70">
        <f t="shared" si="0"/>
        <v>3.6490129565433924</v>
      </c>
      <c r="F15" s="114">
        <f>(1+'Q2 Base'!$C$29)^-B15</f>
        <v>0.66505711362233599</v>
      </c>
      <c r="G15" s="37">
        <f t="shared" si="1"/>
        <v>2.426802024449255</v>
      </c>
      <c r="I15" s="13"/>
      <c r="J15" s="13"/>
    </row>
    <row r="16" spans="1:10" x14ac:dyDescent="0.25">
      <c r="B16" s="43">
        <v>8</v>
      </c>
      <c r="C16" s="31">
        <f>'Q2 (ii)'!N16</f>
        <v>41.764751004658351</v>
      </c>
      <c r="D16" s="71">
        <f>D15*(1-'Q2 (ii)'!H15-'Q2 (ii)'!I15)</f>
        <v>0.74733086359160572</v>
      </c>
      <c r="E16" s="70">
        <f t="shared" si="0"/>
        <v>31.212087435999706</v>
      </c>
      <c r="F16" s="114">
        <f>(1+'Q2 Base'!$C$29)^-B16</f>
        <v>0.62741237134182648</v>
      </c>
      <c r="G16" s="37">
        <f t="shared" si="1"/>
        <v>19.582849792749006</v>
      </c>
      <c r="I16" s="13"/>
      <c r="J16" s="13"/>
    </row>
    <row r="17" spans="2:11" x14ac:dyDescent="0.25">
      <c r="B17" s="43">
        <v>9</v>
      </c>
      <c r="C17" s="31">
        <f>'Q2 (ii)'!N17</f>
        <v>79.442831723100554</v>
      </c>
      <c r="D17" s="71">
        <f>D16*(1-'Q2 (ii)'!H16-'Q2 (ii)'!I16)</f>
        <v>0.72056212970891442</v>
      </c>
      <c r="E17" s="70">
        <f t="shared" si="0"/>
        <v>57.243496016504245</v>
      </c>
      <c r="F17" s="114">
        <f>(1+'Q2 Base'!$C$29)^-B17</f>
        <v>0.59189846353002495</v>
      </c>
      <c r="G17" s="37">
        <f t="shared" si="1"/>
        <v>33.882337339255969</v>
      </c>
    </row>
    <row r="18" spans="2:11" x14ac:dyDescent="0.25">
      <c r="B18" s="43">
        <v>10</v>
      </c>
      <c r="C18" s="31">
        <f>'Q2 (ii)'!N18</f>
        <v>117.75309084717604</v>
      </c>
      <c r="D18" s="71">
        <f>D17*(1-'Q2 (ii)'!H17-'Q2 (ii)'!I17)</f>
        <v>0.69419454205150566</v>
      </c>
      <c r="E18" s="70">
        <f t="shared" si="0"/>
        <v>81.743552975804718</v>
      </c>
      <c r="F18" s="114">
        <f>(1+'Q2 Base'!$C$29)^-B18</f>
        <v>0.55839477691511785</v>
      </c>
      <c r="G18" s="37">
        <f t="shared" si="1"/>
        <v>45.645173028173595</v>
      </c>
    </row>
    <row r="19" spans="2:11" x14ac:dyDescent="0.25">
      <c r="B19" s="43">
        <v>11</v>
      </c>
      <c r="C19" s="31">
        <f>'Q2 (ii)'!N19</f>
        <v>63.993969099832356</v>
      </c>
      <c r="D19" s="71">
        <f>D18*(1-'Q2 (ii)'!H18-'Q2 (ii)'!I18)</f>
        <v>0.6681887302463535</v>
      </c>
      <c r="E19" s="70">
        <f t="shared" si="0"/>
        <v>42.760048956241363</v>
      </c>
      <c r="F19" s="114">
        <f>(1+'Q2 Base'!$C$29)^-B19</f>
        <v>0.52678752539162055</v>
      </c>
      <c r="G19" s="37">
        <f t="shared" si="1"/>
        <v>22.525460375282936</v>
      </c>
    </row>
    <row r="20" spans="2:11" x14ac:dyDescent="0.25">
      <c r="B20" s="43">
        <v>12</v>
      </c>
      <c r="C20" s="31">
        <f>'Q2 (ii)'!N20</f>
        <v>92.769680853313389</v>
      </c>
      <c r="D20" s="71">
        <f>D19*(1-'Q2 (ii)'!H19-'Q2 (ii)'!I19)</f>
        <v>0.66255305276638587</v>
      </c>
      <c r="E20" s="70">
        <f t="shared" si="0"/>
        <v>61.464835253526125</v>
      </c>
      <c r="F20" s="114">
        <f>(1+'Q2 Base'!$C$29)^-B20</f>
        <v>0.4969693635770005</v>
      </c>
      <c r="G20" s="37">
        <f t="shared" si="1"/>
        <v>30.546140058310062</v>
      </c>
    </row>
    <row r="21" spans="2:11" x14ac:dyDescent="0.25">
      <c r="B21" s="43">
        <v>13</v>
      </c>
      <c r="C21" s="31">
        <f>'Q2 (ii)'!N21</f>
        <v>122.00951421908587</v>
      </c>
      <c r="D21" s="71">
        <f>D20*(1-'Q2 (ii)'!H20-'Q2 (ii)'!I20)</f>
        <v>0.65624394432566213</v>
      </c>
      <c r="E21" s="70">
        <f t="shared" si="0"/>
        <v>80.068004856390871</v>
      </c>
      <c r="F21" s="114">
        <f>(1+'Q2 Base'!$C$29)^-B21</f>
        <v>0.46883902224245327</v>
      </c>
      <c r="G21" s="37">
        <f t="shared" si="1"/>
        <v>37.539005109774294</v>
      </c>
    </row>
    <row r="22" spans="2:11" x14ac:dyDescent="0.25">
      <c r="B22" s="43">
        <v>14</v>
      </c>
      <c r="C22" s="31">
        <f>'Q2 (ii)'!N22</f>
        <v>151.71683076479053</v>
      </c>
      <c r="D22" s="71">
        <f>D21*(1-'Q2 (ii)'!H21-'Q2 (ii)'!I21)</f>
        <v>0.64919688185439994</v>
      </c>
      <c r="E22" s="70">
        <f t="shared" si="0"/>
        <v>98.494093457333705</v>
      </c>
      <c r="F22" s="114">
        <f>(1+'Q2 Base'!$C$29)^-B22</f>
        <v>0.44230096437967292</v>
      </c>
      <c r="G22" s="37">
        <f t="shared" si="1"/>
        <v>43.564032521880328</v>
      </c>
    </row>
    <row r="23" spans="2:11" ht="15.75" thickBot="1" x14ac:dyDescent="0.3">
      <c r="B23" s="44">
        <v>15</v>
      </c>
      <c r="C23" s="38">
        <f>'Q2 (ii)'!N23</f>
        <v>-212.66021560195861</v>
      </c>
      <c r="D23" s="40">
        <f>D22*(1-'Q2 (ii)'!H22-'Q2 (ii)'!I22)</f>
        <v>0.64134370298185883</v>
      </c>
      <c r="E23" s="41">
        <f t="shared" si="0"/>
        <v>-136.38829015108061</v>
      </c>
      <c r="F23" s="115">
        <f>(1+'Q2 Base'!$C$29)^-B23</f>
        <v>0.41726506073554037</v>
      </c>
      <c r="G23" s="42">
        <f t="shared" si="1"/>
        <v>-56.910068173507156</v>
      </c>
    </row>
    <row r="25" spans="2:11" x14ac:dyDescent="0.25">
      <c r="K25" s="64"/>
    </row>
    <row r="26" spans="2:11" x14ac:dyDescent="0.25">
      <c r="K26" s="64"/>
    </row>
    <row r="27" spans="2:11" x14ac:dyDescent="0.25">
      <c r="K27" s="64"/>
    </row>
    <row r="28" spans="2:11" x14ac:dyDescent="0.25">
      <c r="K28" s="64"/>
    </row>
    <row r="29" spans="2:11" x14ac:dyDescent="0.25">
      <c r="K29" s="64"/>
    </row>
  </sheetData>
  <mergeCells count="1">
    <mergeCell ref="C7:G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workbookViewId="0">
      <selection activeCell="B6" sqref="B6"/>
    </sheetView>
  </sheetViews>
  <sheetFormatPr defaultRowHeight="15" x14ac:dyDescent="0.25"/>
  <cols>
    <col min="1" max="1" width="3.42578125" customWidth="1"/>
  </cols>
  <sheetData>
    <row r="1" spans="1:3" ht="15.75" thickBot="1" x14ac:dyDescent="0.3"/>
    <row r="2" spans="1:3" s="100" customFormat="1" ht="26.25" thickBot="1" x14ac:dyDescent="0.4">
      <c r="A2" s="99" t="s">
        <v>151</v>
      </c>
    </row>
    <row r="6" spans="1:3" x14ac:dyDescent="0.25">
      <c r="B6" t="s">
        <v>89</v>
      </c>
      <c r="C6" s="79">
        <f>'Q2 (iii)'!G4</f>
        <v>136.14225180385296</v>
      </c>
    </row>
    <row r="8" spans="1:3" x14ac:dyDescent="0.25">
      <c r="C8" t="s">
        <v>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5"/>
  <sheetViews>
    <sheetView workbookViewId="0">
      <selection activeCell="C9" sqref="C9"/>
    </sheetView>
  </sheetViews>
  <sheetFormatPr defaultRowHeight="15" x14ac:dyDescent="0.25"/>
  <cols>
    <col min="1" max="1" width="4.42578125" customWidth="1"/>
    <col min="3" max="3" width="10" customWidth="1"/>
    <col min="5" max="5" width="16.28515625" customWidth="1"/>
    <col min="6" max="6" width="10.42578125" customWidth="1"/>
    <col min="10" max="10" width="13" customWidth="1"/>
  </cols>
  <sheetData>
    <row r="1" spans="1:10" ht="15.75" thickBot="1" x14ac:dyDescent="0.3"/>
    <row r="2" spans="1:10" s="100" customFormat="1" ht="26.25" thickBot="1" x14ac:dyDescent="0.4">
      <c r="A2" s="99" t="s">
        <v>152</v>
      </c>
    </row>
    <row r="5" spans="1:10" ht="25.5" x14ac:dyDescent="0.25">
      <c r="B5" s="105" t="s">
        <v>27</v>
      </c>
      <c r="C5" s="106" t="s">
        <v>163</v>
      </c>
      <c r="D5" s="13"/>
      <c r="E5" s="106" t="s">
        <v>129</v>
      </c>
      <c r="I5" s="105" t="s">
        <v>27</v>
      </c>
      <c r="J5" s="106" t="s">
        <v>164</v>
      </c>
    </row>
    <row r="6" spans="1:10" x14ac:dyDescent="0.25">
      <c r="B6" s="107">
        <v>0.5</v>
      </c>
      <c r="C6" s="108">
        <v>2.2499999999999998E-3</v>
      </c>
      <c r="D6" s="12"/>
      <c r="E6" t="s">
        <v>95</v>
      </c>
      <c r="F6" s="6">
        <v>1.4999999999999999E-2</v>
      </c>
      <c r="G6" t="s">
        <v>130</v>
      </c>
      <c r="I6" s="107">
        <v>0.5</v>
      </c>
      <c r="J6" s="108">
        <v>1.4760000000000001E-2</v>
      </c>
    </row>
    <row r="7" spans="1:10" x14ac:dyDescent="0.25">
      <c r="B7" s="107">
        <f>B6+0.5</f>
        <v>1</v>
      </c>
      <c r="C7" s="108">
        <v>9.1E-4</v>
      </c>
      <c r="D7" s="12"/>
      <c r="E7" t="s">
        <v>96</v>
      </c>
      <c r="F7" s="6">
        <v>2.5000000000000001E-2</v>
      </c>
      <c r="G7" t="s">
        <v>130</v>
      </c>
      <c r="I7" s="107">
        <f>I6+0.5</f>
        <v>1</v>
      </c>
      <c r="J7" s="108">
        <v>1.5140000000000001E-2</v>
      </c>
    </row>
    <row r="8" spans="1:10" x14ac:dyDescent="0.25">
      <c r="B8" s="107">
        <f t="shared" ref="B8:B65" si="0">B7+0.5</f>
        <v>1.5</v>
      </c>
      <c r="C8" s="108">
        <v>9.3000000000000005E-4</v>
      </c>
      <c r="D8" s="12"/>
      <c r="E8" t="s">
        <v>97</v>
      </c>
      <c r="F8" s="6">
        <v>1.7500000000000002E-2</v>
      </c>
      <c r="G8" t="s">
        <v>130</v>
      </c>
      <c r="I8" s="107">
        <f t="shared" ref="I8:I35" si="1">I7+0.5</f>
        <v>1.5</v>
      </c>
      <c r="J8" s="108">
        <v>1.54E-2</v>
      </c>
    </row>
    <row r="9" spans="1:10" x14ac:dyDescent="0.25">
      <c r="B9" s="107">
        <f t="shared" si="0"/>
        <v>2</v>
      </c>
      <c r="C9" s="108">
        <v>1.25E-3</v>
      </c>
      <c r="D9" s="12"/>
      <c r="I9" s="107">
        <f t="shared" si="1"/>
        <v>2</v>
      </c>
      <c r="J9" s="108">
        <v>1.566E-2</v>
      </c>
    </row>
    <row r="10" spans="1:10" x14ac:dyDescent="0.25">
      <c r="B10" s="107">
        <f t="shared" si="0"/>
        <v>2.5</v>
      </c>
      <c r="C10" s="108">
        <v>8.0999999999999996E-4</v>
      </c>
      <c r="D10" s="12"/>
      <c r="E10" t="s">
        <v>165</v>
      </c>
      <c r="I10" s="107">
        <f t="shared" si="1"/>
        <v>2.5</v>
      </c>
      <c r="J10" s="108">
        <v>1.592E-2</v>
      </c>
    </row>
    <row r="11" spans="1:10" x14ac:dyDescent="0.25">
      <c r="B11" s="107">
        <f t="shared" si="0"/>
        <v>3</v>
      </c>
      <c r="C11" s="108">
        <v>1.8400000000000001E-3</v>
      </c>
      <c r="D11" s="12"/>
      <c r="E11" t="s">
        <v>166</v>
      </c>
      <c r="I11" s="107">
        <f t="shared" si="1"/>
        <v>3</v>
      </c>
      <c r="J11" s="108">
        <v>1.618E-2</v>
      </c>
    </row>
    <row r="12" spans="1:10" x14ac:dyDescent="0.25">
      <c r="B12" s="107">
        <f t="shared" si="0"/>
        <v>3.5</v>
      </c>
      <c r="C12" s="108">
        <v>1.83E-3</v>
      </c>
      <c r="D12" s="12"/>
      <c r="E12" t="s">
        <v>167</v>
      </c>
      <c r="I12" s="107">
        <f t="shared" si="1"/>
        <v>3.5</v>
      </c>
      <c r="J12" s="108">
        <v>1.6420000000000001E-2</v>
      </c>
    </row>
    <row r="13" spans="1:10" x14ac:dyDescent="0.25">
      <c r="B13" s="107">
        <f t="shared" si="0"/>
        <v>4</v>
      </c>
      <c r="C13" s="108">
        <v>3.0400000000000002E-3</v>
      </c>
      <c r="D13" s="12"/>
      <c r="I13" s="107">
        <f t="shared" si="1"/>
        <v>4</v>
      </c>
      <c r="J13" s="108">
        <v>1.6639999999999999E-2</v>
      </c>
    </row>
    <row r="14" spans="1:10" x14ac:dyDescent="0.25">
      <c r="B14" s="107">
        <f t="shared" si="0"/>
        <v>4.5</v>
      </c>
      <c r="C14" s="108">
        <v>3.7299999999999998E-3</v>
      </c>
      <c r="D14" s="12"/>
      <c r="E14" t="s">
        <v>131</v>
      </c>
      <c r="I14" s="107">
        <f t="shared" si="1"/>
        <v>4.5</v>
      </c>
      <c r="J14" s="108">
        <v>1.687E-2</v>
      </c>
    </row>
    <row r="15" spans="1:10" x14ac:dyDescent="0.25">
      <c r="B15" s="107">
        <f t="shared" si="0"/>
        <v>5</v>
      </c>
      <c r="C15" s="108">
        <v>3.5799999999999998E-3</v>
      </c>
      <c r="D15" s="12"/>
      <c r="I15" s="107">
        <f t="shared" si="1"/>
        <v>5</v>
      </c>
      <c r="J15" s="108">
        <v>1.703E-2</v>
      </c>
    </row>
    <row r="16" spans="1:10" x14ac:dyDescent="0.25">
      <c r="B16" s="107">
        <f t="shared" si="0"/>
        <v>5.5</v>
      </c>
      <c r="C16" s="108">
        <v>4.1099999999999999E-3</v>
      </c>
      <c r="D16" s="12"/>
      <c r="I16" s="107">
        <f t="shared" si="1"/>
        <v>5.5</v>
      </c>
      <c r="J16" s="108">
        <v>1.7139999999999999E-2</v>
      </c>
    </row>
    <row r="17" spans="2:10" x14ac:dyDescent="0.25">
      <c r="B17" s="107">
        <f t="shared" si="0"/>
        <v>6</v>
      </c>
      <c r="C17" s="108">
        <v>5.0400000000000002E-3</v>
      </c>
      <c r="D17" s="12"/>
      <c r="I17" s="107">
        <f t="shared" si="1"/>
        <v>6</v>
      </c>
      <c r="J17" s="108">
        <v>1.7260000000000001E-2</v>
      </c>
    </row>
    <row r="18" spans="2:10" x14ac:dyDescent="0.25">
      <c r="B18" s="107">
        <f t="shared" si="0"/>
        <v>6.5</v>
      </c>
      <c r="C18" s="108">
        <v>5.9899999999999997E-3</v>
      </c>
      <c r="D18" s="12"/>
      <c r="I18" s="107">
        <f t="shared" si="1"/>
        <v>6.5</v>
      </c>
      <c r="J18" s="108">
        <v>1.738E-2</v>
      </c>
    </row>
    <row r="19" spans="2:10" x14ac:dyDescent="0.25">
      <c r="B19" s="107">
        <f t="shared" si="0"/>
        <v>7</v>
      </c>
      <c r="C19" s="108">
        <v>6.7000000000000002E-3</v>
      </c>
      <c r="D19" s="12"/>
      <c r="I19" s="107">
        <f t="shared" si="1"/>
        <v>7</v>
      </c>
      <c r="J19" s="108">
        <v>1.7510000000000001E-2</v>
      </c>
    </row>
    <row r="20" spans="2:10" x14ac:dyDescent="0.25">
      <c r="B20" s="107">
        <f t="shared" si="0"/>
        <v>7.5</v>
      </c>
      <c r="C20" s="108">
        <v>7.3800000000000003E-3</v>
      </c>
      <c r="D20" s="12"/>
      <c r="I20" s="107">
        <f t="shared" si="1"/>
        <v>7.5</v>
      </c>
      <c r="J20" s="108">
        <v>1.7639999999999999E-2</v>
      </c>
    </row>
    <row r="21" spans="2:10" x14ac:dyDescent="0.25">
      <c r="B21" s="107">
        <f t="shared" si="0"/>
        <v>8</v>
      </c>
      <c r="C21" s="108">
        <v>8.0400000000000003E-3</v>
      </c>
      <c r="D21" s="12"/>
      <c r="I21" s="107">
        <f t="shared" si="1"/>
        <v>8</v>
      </c>
      <c r="J21" s="108">
        <v>1.7850000000000001E-2</v>
      </c>
    </row>
    <row r="22" spans="2:10" x14ac:dyDescent="0.25">
      <c r="B22" s="107">
        <f t="shared" si="0"/>
        <v>8.5</v>
      </c>
      <c r="C22" s="108">
        <v>8.2299999999999995E-3</v>
      </c>
      <c r="D22" s="12"/>
      <c r="I22" s="107">
        <f t="shared" si="1"/>
        <v>8.5</v>
      </c>
      <c r="J22" s="108">
        <v>1.7930000000000001E-2</v>
      </c>
    </row>
    <row r="23" spans="2:10" x14ac:dyDescent="0.25">
      <c r="B23" s="107">
        <f t="shared" si="0"/>
        <v>9</v>
      </c>
      <c r="C23" s="108">
        <v>8.8500000000000002E-3</v>
      </c>
      <c r="D23" s="12"/>
      <c r="I23" s="107">
        <f t="shared" si="1"/>
        <v>9</v>
      </c>
      <c r="J23" s="108">
        <v>1.7919999999999998E-2</v>
      </c>
    </row>
    <row r="24" spans="2:10" x14ac:dyDescent="0.25">
      <c r="B24" s="107">
        <f t="shared" si="0"/>
        <v>9.5</v>
      </c>
      <c r="C24" s="108">
        <v>9.7300000000000008E-3</v>
      </c>
      <c r="D24" s="12"/>
      <c r="I24" s="107">
        <f t="shared" si="1"/>
        <v>9.5</v>
      </c>
      <c r="J24" s="108">
        <v>1.7919999999999998E-2</v>
      </c>
    </row>
    <row r="25" spans="2:10" x14ac:dyDescent="0.25">
      <c r="B25" s="107">
        <f t="shared" si="0"/>
        <v>10</v>
      </c>
      <c r="C25" s="108">
        <v>1.051E-2</v>
      </c>
      <c r="D25" s="12"/>
      <c r="I25" s="107">
        <f t="shared" si="1"/>
        <v>10</v>
      </c>
      <c r="J25" s="108">
        <v>1.7909999999999999E-2</v>
      </c>
    </row>
    <row r="26" spans="2:10" x14ac:dyDescent="0.25">
      <c r="B26" s="107">
        <f t="shared" si="0"/>
        <v>10.5</v>
      </c>
      <c r="C26" s="108">
        <v>1.077E-2</v>
      </c>
      <c r="D26" s="12"/>
      <c r="I26" s="107">
        <f t="shared" si="1"/>
        <v>10.5</v>
      </c>
      <c r="J26" s="108">
        <v>1.7909999999999999E-2</v>
      </c>
    </row>
    <row r="27" spans="2:10" x14ac:dyDescent="0.25">
      <c r="B27" s="107">
        <f t="shared" si="0"/>
        <v>11</v>
      </c>
      <c r="C27" s="108">
        <v>1.0959999999999999E-2</v>
      </c>
      <c r="D27" s="12"/>
      <c r="I27" s="107">
        <f t="shared" si="1"/>
        <v>11</v>
      </c>
      <c r="J27" s="108">
        <v>1.7909999999999999E-2</v>
      </c>
    </row>
    <row r="28" spans="2:10" x14ac:dyDescent="0.25">
      <c r="B28" s="107">
        <f t="shared" si="0"/>
        <v>11.5</v>
      </c>
      <c r="C28" s="108">
        <v>1.1140000000000001E-2</v>
      </c>
      <c r="D28" s="12"/>
      <c r="I28" s="107">
        <f t="shared" si="1"/>
        <v>11.5</v>
      </c>
      <c r="J28" s="108">
        <v>1.7930000000000001E-2</v>
      </c>
    </row>
    <row r="29" spans="2:10" x14ac:dyDescent="0.25">
      <c r="B29" s="107">
        <f t="shared" si="0"/>
        <v>12</v>
      </c>
      <c r="C29" s="108">
        <v>1.125E-2</v>
      </c>
      <c r="D29" s="12"/>
      <c r="I29" s="107">
        <f t="shared" si="1"/>
        <v>12</v>
      </c>
      <c r="J29" s="108">
        <v>1.814E-2</v>
      </c>
    </row>
    <row r="30" spans="2:10" x14ac:dyDescent="0.25">
      <c r="B30" s="107">
        <f t="shared" si="0"/>
        <v>12.5</v>
      </c>
      <c r="C30" s="108">
        <v>1.1429999999999999E-2</v>
      </c>
      <c r="D30" s="12"/>
      <c r="I30" s="107">
        <f t="shared" si="1"/>
        <v>12.5</v>
      </c>
      <c r="J30" s="108">
        <v>1.8350000000000002E-2</v>
      </c>
    </row>
    <row r="31" spans="2:10" x14ac:dyDescent="0.25">
      <c r="B31" s="107">
        <f t="shared" si="0"/>
        <v>13</v>
      </c>
      <c r="C31" s="108">
        <v>1.2070000000000001E-2</v>
      </c>
      <c r="D31" s="12"/>
      <c r="I31" s="107">
        <f t="shared" si="1"/>
        <v>13</v>
      </c>
      <c r="J31" s="108">
        <v>1.8329999999999999E-2</v>
      </c>
    </row>
    <row r="32" spans="2:10" x14ac:dyDescent="0.25">
      <c r="B32" s="107">
        <f t="shared" si="0"/>
        <v>13.5</v>
      </c>
      <c r="C32" s="108">
        <v>1.2710000000000001E-2</v>
      </c>
      <c r="D32" s="12"/>
      <c r="I32" s="107">
        <f t="shared" si="1"/>
        <v>13.5</v>
      </c>
      <c r="J32" s="108">
        <v>1.8280000000000001E-2</v>
      </c>
    </row>
    <row r="33" spans="2:10" x14ac:dyDescent="0.25">
      <c r="B33" s="107">
        <f t="shared" si="0"/>
        <v>14</v>
      </c>
      <c r="C33" s="108">
        <v>1.336E-2</v>
      </c>
      <c r="D33" s="12"/>
      <c r="I33" s="107">
        <f t="shared" si="1"/>
        <v>14</v>
      </c>
      <c r="J33" s="108">
        <v>1.8190000000000001E-2</v>
      </c>
    </row>
    <row r="34" spans="2:10" x14ac:dyDescent="0.25">
      <c r="B34" s="107">
        <f t="shared" si="0"/>
        <v>14.5</v>
      </c>
      <c r="C34" s="108">
        <v>1.3990000000000001E-2</v>
      </c>
      <c r="D34" s="12"/>
      <c r="I34" s="107">
        <f t="shared" si="1"/>
        <v>14.5</v>
      </c>
      <c r="J34" s="108">
        <v>1.8100000000000002E-2</v>
      </c>
    </row>
    <row r="35" spans="2:10" x14ac:dyDescent="0.25">
      <c r="B35" s="107">
        <f t="shared" si="0"/>
        <v>15</v>
      </c>
      <c r="C35" s="108">
        <v>1.4370000000000001E-2</v>
      </c>
      <c r="D35" s="12"/>
      <c r="I35" s="107">
        <f t="shared" si="1"/>
        <v>15</v>
      </c>
      <c r="J35" s="108">
        <v>1.8010000000000002E-2</v>
      </c>
    </row>
    <row r="36" spans="2:10" x14ac:dyDescent="0.25">
      <c r="B36" s="107">
        <f t="shared" si="0"/>
        <v>15.5</v>
      </c>
      <c r="C36" s="108">
        <v>1.4760000000000001E-2</v>
      </c>
      <c r="D36" s="12"/>
    </row>
    <row r="37" spans="2:10" x14ac:dyDescent="0.25">
      <c r="B37" s="107">
        <f t="shared" si="0"/>
        <v>16</v>
      </c>
      <c r="C37" s="108">
        <v>1.5140000000000001E-2</v>
      </c>
      <c r="D37" s="12"/>
    </row>
    <row r="38" spans="2:10" x14ac:dyDescent="0.25">
      <c r="B38" s="107">
        <f t="shared" si="0"/>
        <v>16.5</v>
      </c>
      <c r="C38" s="108">
        <v>1.54E-2</v>
      </c>
      <c r="D38" s="12"/>
    </row>
    <row r="39" spans="2:10" x14ac:dyDescent="0.25">
      <c r="B39" s="107">
        <f t="shared" si="0"/>
        <v>17</v>
      </c>
      <c r="C39" s="108">
        <v>1.566E-2</v>
      </c>
      <c r="D39" s="12"/>
    </row>
    <row r="40" spans="2:10" x14ac:dyDescent="0.25">
      <c r="B40" s="107">
        <f t="shared" si="0"/>
        <v>17.5</v>
      </c>
      <c r="C40" s="108">
        <v>1.592E-2</v>
      </c>
      <c r="D40" s="12"/>
    </row>
    <row r="41" spans="2:10" x14ac:dyDescent="0.25">
      <c r="B41" s="107">
        <f t="shared" si="0"/>
        <v>18</v>
      </c>
      <c r="C41" s="108">
        <v>1.618E-2</v>
      </c>
      <c r="D41" s="12"/>
    </row>
    <row r="42" spans="2:10" x14ac:dyDescent="0.25">
      <c r="B42" s="107">
        <f t="shared" si="0"/>
        <v>18.5</v>
      </c>
      <c r="C42" s="108">
        <v>1.6420000000000001E-2</v>
      </c>
      <c r="D42" s="12"/>
    </row>
    <row r="43" spans="2:10" x14ac:dyDescent="0.25">
      <c r="B43" s="107">
        <f t="shared" si="0"/>
        <v>19</v>
      </c>
      <c r="C43" s="108">
        <v>1.6639999999999999E-2</v>
      </c>
      <c r="D43" s="12"/>
    </row>
    <row r="44" spans="2:10" x14ac:dyDescent="0.25">
      <c r="B44" s="107">
        <f t="shared" si="0"/>
        <v>19.5</v>
      </c>
      <c r="C44" s="108">
        <v>1.687E-2</v>
      </c>
      <c r="D44" s="12"/>
    </row>
    <row r="45" spans="2:10" x14ac:dyDescent="0.25">
      <c r="B45" s="107">
        <f t="shared" si="0"/>
        <v>20</v>
      </c>
      <c r="C45" s="108">
        <v>1.703E-2</v>
      </c>
      <c r="D45" s="12"/>
    </row>
    <row r="46" spans="2:10" x14ac:dyDescent="0.25">
      <c r="B46" s="107">
        <f t="shared" si="0"/>
        <v>20.5</v>
      </c>
      <c r="C46" s="108">
        <v>1.7139999999999999E-2</v>
      </c>
      <c r="D46" s="12"/>
    </row>
    <row r="47" spans="2:10" x14ac:dyDescent="0.25">
      <c r="B47" s="107">
        <f t="shared" si="0"/>
        <v>21</v>
      </c>
      <c r="C47" s="108">
        <v>1.7260000000000001E-2</v>
      </c>
      <c r="D47" s="12"/>
    </row>
    <row r="48" spans="2:10" x14ac:dyDescent="0.25">
      <c r="B48" s="107">
        <f t="shared" si="0"/>
        <v>21.5</v>
      </c>
      <c r="C48" s="108">
        <v>1.738E-2</v>
      </c>
      <c r="D48" s="12"/>
    </row>
    <row r="49" spans="2:4" x14ac:dyDescent="0.25">
      <c r="B49" s="107">
        <f t="shared" si="0"/>
        <v>22</v>
      </c>
      <c r="C49" s="108">
        <v>1.7510000000000001E-2</v>
      </c>
      <c r="D49" s="12"/>
    </row>
    <row r="50" spans="2:4" x14ac:dyDescent="0.25">
      <c r="B50" s="107">
        <f t="shared" si="0"/>
        <v>22.5</v>
      </c>
      <c r="C50" s="108">
        <v>1.7639999999999999E-2</v>
      </c>
      <c r="D50" s="12"/>
    </row>
    <row r="51" spans="2:4" x14ac:dyDescent="0.25">
      <c r="B51" s="107">
        <f t="shared" si="0"/>
        <v>23</v>
      </c>
      <c r="C51" s="108">
        <v>1.7850000000000001E-2</v>
      </c>
      <c r="D51" s="12"/>
    </row>
    <row r="52" spans="2:4" x14ac:dyDescent="0.25">
      <c r="B52" s="107">
        <f t="shared" si="0"/>
        <v>23.5</v>
      </c>
      <c r="C52" s="108">
        <v>1.7930000000000001E-2</v>
      </c>
      <c r="D52" s="12"/>
    </row>
    <row r="53" spans="2:4" x14ac:dyDescent="0.25">
      <c r="B53" s="107">
        <f t="shared" si="0"/>
        <v>24</v>
      </c>
      <c r="C53" s="108">
        <v>1.7919999999999998E-2</v>
      </c>
      <c r="D53" s="12"/>
    </row>
    <row r="54" spans="2:4" x14ac:dyDescent="0.25">
      <c r="B54" s="107">
        <f t="shared" si="0"/>
        <v>24.5</v>
      </c>
      <c r="C54" s="108">
        <v>1.7919999999999998E-2</v>
      </c>
      <c r="D54" s="12"/>
    </row>
    <row r="55" spans="2:4" x14ac:dyDescent="0.25">
      <c r="B55" s="107">
        <f t="shared" si="0"/>
        <v>25</v>
      </c>
      <c r="C55" s="108">
        <v>1.7909999999999999E-2</v>
      </c>
      <c r="D55" s="12"/>
    </row>
    <row r="56" spans="2:4" x14ac:dyDescent="0.25">
      <c r="B56" s="107">
        <f t="shared" si="0"/>
        <v>25.5</v>
      </c>
      <c r="C56" s="108">
        <v>1.7909999999999999E-2</v>
      </c>
      <c r="D56" s="12"/>
    </row>
    <row r="57" spans="2:4" x14ac:dyDescent="0.25">
      <c r="B57" s="107">
        <f t="shared" si="0"/>
        <v>26</v>
      </c>
      <c r="C57" s="108">
        <v>1.7909999999999999E-2</v>
      </c>
      <c r="D57" s="12"/>
    </row>
    <row r="58" spans="2:4" x14ac:dyDescent="0.25">
      <c r="B58" s="107">
        <f t="shared" si="0"/>
        <v>26.5</v>
      </c>
      <c r="C58" s="108">
        <v>1.7930000000000001E-2</v>
      </c>
      <c r="D58" s="12"/>
    </row>
    <row r="59" spans="2:4" x14ac:dyDescent="0.25">
      <c r="B59" s="107">
        <f t="shared" si="0"/>
        <v>27</v>
      </c>
      <c r="C59" s="108">
        <v>1.814E-2</v>
      </c>
      <c r="D59" s="12"/>
    </row>
    <row r="60" spans="2:4" x14ac:dyDescent="0.25">
      <c r="B60" s="107">
        <f t="shared" si="0"/>
        <v>27.5</v>
      </c>
      <c r="C60" s="108">
        <v>1.8350000000000002E-2</v>
      </c>
      <c r="D60" s="12"/>
    </row>
    <row r="61" spans="2:4" x14ac:dyDescent="0.25">
      <c r="B61" s="107">
        <f t="shared" si="0"/>
        <v>28</v>
      </c>
      <c r="C61" s="108">
        <v>1.8329999999999999E-2</v>
      </c>
      <c r="D61" s="12"/>
    </row>
    <row r="62" spans="2:4" x14ac:dyDescent="0.25">
      <c r="B62" s="107">
        <f t="shared" si="0"/>
        <v>28.5</v>
      </c>
      <c r="C62" s="108">
        <v>1.8280000000000001E-2</v>
      </c>
      <c r="D62" s="12"/>
    </row>
    <row r="63" spans="2:4" x14ac:dyDescent="0.25">
      <c r="B63" s="107">
        <f t="shared" si="0"/>
        <v>29</v>
      </c>
      <c r="C63" s="108">
        <v>1.8190000000000001E-2</v>
      </c>
      <c r="D63" s="12"/>
    </row>
    <row r="64" spans="2:4" x14ac:dyDescent="0.25">
      <c r="B64" s="107">
        <f t="shared" si="0"/>
        <v>29.5</v>
      </c>
      <c r="C64" s="108">
        <v>1.8100000000000002E-2</v>
      </c>
      <c r="D64" s="12"/>
    </row>
    <row r="65" spans="2:4" x14ac:dyDescent="0.25">
      <c r="B65" s="107">
        <f t="shared" si="0"/>
        <v>30</v>
      </c>
      <c r="C65" s="108">
        <v>1.8010000000000002E-2</v>
      </c>
      <c r="D65"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69"/>
  <sheetViews>
    <sheetView workbookViewId="0"/>
  </sheetViews>
  <sheetFormatPr defaultRowHeight="15" x14ac:dyDescent="0.25"/>
  <cols>
    <col min="1" max="1" width="4" customWidth="1"/>
    <col min="3" max="3" width="11.85546875" customWidth="1"/>
    <col min="5" max="5" width="3.85546875" customWidth="1"/>
    <col min="6" max="6" width="10.28515625" bestFit="1" customWidth="1"/>
    <col min="7" max="7" width="8.85546875" customWidth="1"/>
    <col min="8" max="8" width="13" customWidth="1"/>
    <col min="9" max="9" width="3.7109375" customWidth="1"/>
    <col min="10" max="10" width="10.28515625" bestFit="1" customWidth="1"/>
    <col min="11" max="11" width="8.85546875" customWidth="1"/>
    <col min="12" max="12" width="13" customWidth="1"/>
    <col min="13" max="13" width="3.7109375" customWidth="1"/>
    <col min="14" max="14" width="10.28515625" bestFit="1" customWidth="1"/>
    <col min="15" max="15" width="8.85546875" customWidth="1"/>
    <col min="16" max="16" width="13" customWidth="1"/>
    <col min="18" max="18" width="12.85546875" customWidth="1"/>
  </cols>
  <sheetData>
    <row r="1" spans="1:21" ht="15.75" thickBot="1" x14ac:dyDescent="0.3"/>
    <row r="2" spans="1:21" s="100" customFormat="1" ht="26.25" thickBot="1" x14ac:dyDescent="0.4">
      <c r="A2" s="99" t="s">
        <v>153</v>
      </c>
    </row>
    <row r="4" spans="1:21" s="7" customFormat="1" x14ac:dyDescent="0.25">
      <c r="B4" s="118"/>
      <c r="C4" s="118"/>
      <c r="E4" s="107"/>
      <c r="F4" s="150" t="s">
        <v>201</v>
      </c>
      <c r="G4" s="151"/>
      <c r="H4" s="152"/>
      <c r="I4" s="111"/>
      <c r="J4" s="150" t="s">
        <v>202</v>
      </c>
      <c r="K4" s="151"/>
      <c r="L4" s="152"/>
      <c r="M4" s="66"/>
      <c r="N4" s="150" t="s">
        <v>203</v>
      </c>
      <c r="O4" s="151"/>
      <c r="P4" s="152"/>
    </row>
    <row r="5" spans="1:21" x14ac:dyDescent="0.25">
      <c r="B5" s="107"/>
      <c r="C5" s="107"/>
      <c r="D5" s="107"/>
      <c r="E5" s="107"/>
      <c r="F5" s="109">
        <f>'Q3 Base'!F6</f>
        <v>1.4999999999999999E-2</v>
      </c>
      <c r="G5" s="109"/>
      <c r="H5" s="109"/>
      <c r="I5" s="109"/>
      <c r="J5" s="109">
        <f>'Q3 Base'!F7</f>
        <v>2.5000000000000001E-2</v>
      </c>
      <c r="K5" s="109"/>
      <c r="L5" s="109"/>
      <c r="M5" s="109"/>
      <c r="N5" s="6">
        <f>'Q3 Base'!F8</f>
        <v>1.7500000000000002E-2</v>
      </c>
      <c r="O5" s="109"/>
      <c r="P5" s="109"/>
    </row>
    <row r="6" spans="1:21" x14ac:dyDescent="0.25">
      <c r="B6" s="107"/>
      <c r="C6" s="107"/>
      <c r="D6" s="107"/>
      <c r="E6" s="107"/>
      <c r="F6" s="110">
        <v>100</v>
      </c>
      <c r="G6" s="110"/>
      <c r="H6" s="110"/>
      <c r="I6" s="110"/>
      <c r="J6" s="111">
        <v>100</v>
      </c>
      <c r="K6" s="110"/>
      <c r="L6" s="110"/>
      <c r="M6" s="110"/>
      <c r="N6" s="111">
        <v>100</v>
      </c>
      <c r="O6" s="110"/>
      <c r="P6" s="110"/>
    </row>
    <row r="7" spans="1:21" x14ac:dyDescent="0.25">
      <c r="B7" s="107"/>
      <c r="C7" s="107"/>
      <c r="D7" s="107"/>
      <c r="E7" s="107"/>
      <c r="F7" s="110"/>
      <c r="G7" s="110">
        <f>G61</f>
        <v>104.58655719745113</v>
      </c>
      <c r="H7" s="110">
        <f>H61</f>
        <v>975.64080971091653</v>
      </c>
      <c r="I7" s="110"/>
      <c r="J7" s="111"/>
      <c r="K7" s="110">
        <f>K61</f>
        <v>115.61943810703858</v>
      </c>
      <c r="L7" s="110">
        <f>L61</f>
        <v>1471.7302665862255</v>
      </c>
      <c r="M7" s="110"/>
      <c r="N7" s="111"/>
      <c r="O7" s="110">
        <f>O61</f>
        <v>101.05698352841338</v>
      </c>
      <c r="P7" s="110">
        <f>P61</f>
        <v>2036.7667369227638</v>
      </c>
    </row>
    <row r="8" spans="1:21" x14ac:dyDescent="0.25">
      <c r="B8" s="107"/>
      <c r="C8" s="107"/>
      <c r="D8" s="118" t="s">
        <v>2</v>
      </c>
      <c r="E8" s="107"/>
      <c r="F8" s="153" t="s">
        <v>183</v>
      </c>
      <c r="G8" s="153"/>
      <c r="H8" s="153"/>
      <c r="I8" s="153"/>
      <c r="J8" s="153"/>
      <c r="K8" s="153"/>
      <c r="L8" s="153"/>
      <c r="M8" s="153"/>
      <c r="N8" s="153"/>
      <c r="O8" s="153"/>
      <c r="P8" s="153"/>
    </row>
    <row r="9" spans="1:21" s="1" customFormat="1" ht="25.5" x14ac:dyDescent="0.25">
      <c r="B9" s="122" t="s">
        <v>27</v>
      </c>
      <c r="C9" s="122" t="s">
        <v>94</v>
      </c>
      <c r="D9" s="123" t="s">
        <v>98</v>
      </c>
      <c r="E9" s="127"/>
      <c r="F9" s="124" t="s">
        <v>198</v>
      </c>
      <c r="G9" s="122" t="s">
        <v>199</v>
      </c>
      <c r="H9" s="129" t="s">
        <v>200</v>
      </c>
      <c r="I9" s="130"/>
      <c r="J9" s="124" t="s">
        <v>198</v>
      </c>
      <c r="K9" s="122" t="s">
        <v>199</v>
      </c>
      <c r="L9" s="129" t="s">
        <v>200</v>
      </c>
      <c r="M9" s="130"/>
      <c r="N9" s="124" t="s">
        <v>198</v>
      </c>
      <c r="O9" s="122" t="s">
        <v>199</v>
      </c>
      <c r="P9" s="126" t="s">
        <v>200</v>
      </c>
      <c r="Q9" s="19"/>
      <c r="R9" s="122" t="s">
        <v>99</v>
      </c>
    </row>
    <row r="10" spans="1:21" x14ac:dyDescent="0.25">
      <c r="B10" s="107">
        <f>'Q3 Base'!B6</f>
        <v>0.5</v>
      </c>
      <c r="C10" s="107">
        <f>'Q3 Base'!C6</f>
        <v>2.2499999999999998E-3</v>
      </c>
      <c r="D10" s="107">
        <f t="shared" ref="D10:D69" si="0">(1+C10)^-B10</f>
        <v>0.99887689488492337</v>
      </c>
      <c r="E10" s="107"/>
      <c r="F10" s="111">
        <f>F$6*F$5/2</f>
        <v>0.75</v>
      </c>
      <c r="G10" s="111">
        <f>F10*$D10</f>
        <v>0.74915767116369247</v>
      </c>
      <c r="H10" s="111">
        <f>G10*$B10</f>
        <v>0.37457883558184624</v>
      </c>
      <c r="I10" s="111"/>
      <c r="J10" s="111">
        <f>J$6*J$5/2</f>
        <v>1.25</v>
      </c>
      <c r="K10" s="111">
        <f>J10*$D10</f>
        <v>1.2485961186061543</v>
      </c>
      <c r="L10" s="111">
        <f>K10*$B10</f>
        <v>0.62429805930307714</v>
      </c>
      <c r="M10" s="111"/>
      <c r="N10" s="111">
        <f>N$6*N$5/2</f>
        <v>0.87500000000000011</v>
      </c>
      <c r="O10" s="111">
        <f>N10*$D10</f>
        <v>0.87401728302430803</v>
      </c>
      <c r="P10" s="111">
        <f>O10*$B10</f>
        <v>0.43700864151215402</v>
      </c>
      <c r="R10" t="s">
        <v>100</v>
      </c>
      <c r="S10">
        <f>H61/G61</f>
        <v>9.3285488676043133</v>
      </c>
      <c r="T10" t="s">
        <v>101</v>
      </c>
      <c r="U10" s="15" t="s">
        <v>2</v>
      </c>
    </row>
    <row r="11" spans="1:21" x14ac:dyDescent="0.25">
      <c r="B11" s="107">
        <f>'Q3 Base'!B7</f>
        <v>1</v>
      </c>
      <c r="C11" s="107">
        <f>'Q3 Base'!C7</f>
        <v>9.1E-4</v>
      </c>
      <c r="D11" s="107">
        <f t="shared" si="0"/>
        <v>0.99909082734711419</v>
      </c>
      <c r="E11" s="107"/>
      <c r="F11" s="111">
        <f t="shared" ref="F11:N49" si="1">F$6*F$5/2</f>
        <v>0.75</v>
      </c>
      <c r="G11" s="111">
        <f t="shared" ref="G11:G59" si="2">F11*$D11</f>
        <v>0.74931812051033564</v>
      </c>
      <c r="H11" s="111">
        <f t="shared" ref="H11:H59" si="3">G11*$B11</f>
        <v>0.74931812051033564</v>
      </c>
      <c r="I11" s="111"/>
      <c r="J11" s="111">
        <f t="shared" si="1"/>
        <v>1.25</v>
      </c>
      <c r="K11" s="111">
        <f t="shared" ref="K11:K59" si="4">J11*$D11</f>
        <v>1.2488635341838927</v>
      </c>
      <c r="L11" s="111">
        <f t="shared" ref="L11:L59" si="5">K11*$B11</f>
        <v>1.2488635341838927</v>
      </c>
      <c r="M11" s="111"/>
      <c r="N11" s="111">
        <f t="shared" si="1"/>
        <v>0.87500000000000011</v>
      </c>
      <c r="O11" s="111">
        <f t="shared" ref="O11:O59" si="6">N11*$D11</f>
        <v>0.87420447392872502</v>
      </c>
      <c r="P11" s="111">
        <f t="shared" ref="P11:P59" si="7">O11*$B11</f>
        <v>0.87420447392872502</v>
      </c>
      <c r="R11" t="s">
        <v>102</v>
      </c>
      <c r="S11">
        <f>L61/K61</f>
        <v>12.729090286909384</v>
      </c>
      <c r="T11" t="s">
        <v>101</v>
      </c>
      <c r="U11" s="15" t="s">
        <v>2</v>
      </c>
    </row>
    <row r="12" spans="1:21" x14ac:dyDescent="0.25">
      <c r="B12" s="107">
        <f>'Q3 Base'!B8</f>
        <v>1.5</v>
      </c>
      <c r="C12" s="107">
        <f>'Q3 Base'!C8</f>
        <v>9.3000000000000005E-4</v>
      </c>
      <c r="D12" s="107">
        <f t="shared" si="0"/>
        <v>0.99860661992980804</v>
      </c>
      <c r="E12" s="107"/>
      <c r="F12" s="111">
        <f t="shared" si="1"/>
        <v>0.75</v>
      </c>
      <c r="G12" s="111">
        <f t="shared" si="2"/>
        <v>0.74895496494735603</v>
      </c>
      <c r="H12" s="111">
        <f t="shared" si="3"/>
        <v>1.123432447421034</v>
      </c>
      <c r="I12" s="111"/>
      <c r="J12" s="111">
        <f t="shared" si="1"/>
        <v>1.25</v>
      </c>
      <c r="K12" s="111">
        <f t="shared" si="4"/>
        <v>1.2482582749122599</v>
      </c>
      <c r="L12" s="111">
        <f t="shared" si="5"/>
        <v>1.8723874123683899</v>
      </c>
      <c r="M12" s="111"/>
      <c r="N12" s="111">
        <f t="shared" si="1"/>
        <v>0.87500000000000011</v>
      </c>
      <c r="O12" s="111">
        <f t="shared" si="6"/>
        <v>0.87378079243858209</v>
      </c>
      <c r="P12" s="111">
        <f t="shared" si="7"/>
        <v>1.310671188657873</v>
      </c>
      <c r="R12" t="s">
        <v>103</v>
      </c>
      <c r="S12">
        <f>P61/O61</f>
        <v>20.15463618454535</v>
      </c>
      <c r="T12" t="s">
        <v>101</v>
      </c>
      <c r="U12" s="15" t="s">
        <v>2</v>
      </c>
    </row>
    <row r="13" spans="1:21" x14ac:dyDescent="0.25">
      <c r="B13" s="107">
        <f>'Q3 Base'!B9</f>
        <v>2</v>
      </c>
      <c r="C13" s="107">
        <f>'Q3 Base'!C9</f>
        <v>1.25E-3</v>
      </c>
      <c r="D13" s="107">
        <f t="shared" si="0"/>
        <v>0.9975046796996887</v>
      </c>
      <c r="E13" s="107"/>
      <c r="F13" s="111">
        <f t="shared" si="1"/>
        <v>0.75</v>
      </c>
      <c r="G13" s="111">
        <f t="shared" si="2"/>
        <v>0.74812850977476653</v>
      </c>
      <c r="H13" s="111">
        <f t="shared" si="3"/>
        <v>1.4962570195495331</v>
      </c>
      <c r="I13" s="111"/>
      <c r="J13" s="111">
        <f t="shared" si="1"/>
        <v>1.25</v>
      </c>
      <c r="K13" s="111">
        <f t="shared" si="4"/>
        <v>1.2468808496246109</v>
      </c>
      <c r="L13" s="111">
        <f t="shared" si="5"/>
        <v>2.4937616992492218</v>
      </c>
      <c r="M13" s="111"/>
      <c r="N13" s="111">
        <f t="shared" si="1"/>
        <v>0.87500000000000011</v>
      </c>
      <c r="O13" s="111">
        <f t="shared" si="6"/>
        <v>0.87281659473722772</v>
      </c>
      <c r="P13" s="111">
        <f t="shared" si="7"/>
        <v>1.7456331894744554</v>
      </c>
    </row>
    <row r="14" spans="1:21" x14ac:dyDescent="0.25">
      <c r="B14" s="107">
        <f>'Q3 Base'!B10</f>
        <v>2.5</v>
      </c>
      <c r="C14" s="107">
        <f>'Q3 Base'!C10</f>
        <v>8.0999999999999996E-4</v>
      </c>
      <c r="D14" s="107">
        <f t="shared" si="0"/>
        <v>0.99797786695379864</v>
      </c>
      <c r="E14" s="107"/>
      <c r="F14" s="111">
        <f t="shared" si="1"/>
        <v>0.75</v>
      </c>
      <c r="G14" s="111">
        <f t="shared" si="2"/>
        <v>0.74848340021534898</v>
      </c>
      <c r="H14" s="111">
        <f t="shared" si="3"/>
        <v>1.8712085005383725</v>
      </c>
      <c r="I14" s="111"/>
      <c r="J14" s="111">
        <f t="shared" si="1"/>
        <v>1.25</v>
      </c>
      <c r="K14" s="111">
        <f t="shared" si="4"/>
        <v>1.2474723336922482</v>
      </c>
      <c r="L14" s="111">
        <f t="shared" si="5"/>
        <v>3.1186808342306205</v>
      </c>
      <c r="M14" s="111"/>
      <c r="N14" s="111">
        <f t="shared" si="1"/>
        <v>0.87500000000000011</v>
      </c>
      <c r="O14" s="111">
        <f t="shared" si="6"/>
        <v>0.87323063358457387</v>
      </c>
      <c r="P14" s="111">
        <f t="shared" si="7"/>
        <v>2.1830765839614346</v>
      </c>
    </row>
    <row r="15" spans="1:21" x14ac:dyDescent="0.25">
      <c r="B15" s="107">
        <f>'Q3 Base'!B11</f>
        <v>3</v>
      </c>
      <c r="C15" s="107">
        <f>'Q3 Base'!C11</f>
        <v>1.8400000000000001E-3</v>
      </c>
      <c r="D15" s="107">
        <f t="shared" si="0"/>
        <v>0.99450025147645238</v>
      </c>
      <c r="E15" s="107"/>
      <c r="F15" s="111">
        <f t="shared" si="1"/>
        <v>0.75</v>
      </c>
      <c r="G15" s="111">
        <f t="shared" si="2"/>
        <v>0.74587518860733926</v>
      </c>
      <c r="H15" s="111">
        <f t="shared" si="3"/>
        <v>2.2376255658220177</v>
      </c>
      <c r="I15" s="111"/>
      <c r="J15" s="111">
        <f t="shared" si="1"/>
        <v>1.25</v>
      </c>
      <c r="K15" s="111">
        <f t="shared" si="4"/>
        <v>1.2431253143455654</v>
      </c>
      <c r="L15" s="111">
        <f t="shared" si="5"/>
        <v>3.729375943036696</v>
      </c>
      <c r="M15" s="111"/>
      <c r="N15" s="111">
        <f t="shared" si="1"/>
        <v>0.87500000000000011</v>
      </c>
      <c r="O15" s="111">
        <f t="shared" si="6"/>
        <v>0.87018772004189593</v>
      </c>
      <c r="P15" s="111">
        <f t="shared" si="7"/>
        <v>2.6105631601256878</v>
      </c>
    </row>
    <row r="16" spans="1:21" x14ac:dyDescent="0.25">
      <c r="B16" s="107">
        <f>'Q3 Base'!B12</f>
        <v>3.5</v>
      </c>
      <c r="C16" s="107">
        <f>'Q3 Base'!C12</f>
        <v>1.83E-3</v>
      </c>
      <c r="D16" s="107">
        <f t="shared" si="0"/>
        <v>0.99362128436986596</v>
      </c>
      <c r="E16" s="107"/>
      <c r="F16" s="111">
        <f t="shared" si="1"/>
        <v>0.75</v>
      </c>
      <c r="G16" s="111">
        <f t="shared" si="2"/>
        <v>0.74521596327739947</v>
      </c>
      <c r="H16" s="111">
        <f t="shared" si="3"/>
        <v>2.6082558714708983</v>
      </c>
      <c r="I16" s="111"/>
      <c r="J16" s="111">
        <f t="shared" si="1"/>
        <v>1.25</v>
      </c>
      <c r="K16" s="111">
        <f t="shared" si="4"/>
        <v>1.2420266054623323</v>
      </c>
      <c r="L16" s="111">
        <f t="shared" si="5"/>
        <v>4.3470931191181634</v>
      </c>
      <c r="M16" s="111"/>
      <c r="N16" s="111">
        <f t="shared" si="1"/>
        <v>0.87500000000000011</v>
      </c>
      <c r="O16" s="111">
        <f t="shared" si="6"/>
        <v>0.86941862382363277</v>
      </c>
      <c r="P16" s="111">
        <f t="shared" si="7"/>
        <v>3.0429651833827149</v>
      </c>
    </row>
    <row r="17" spans="2:16" x14ac:dyDescent="0.25">
      <c r="B17" s="107">
        <f>'Q3 Base'!B13</f>
        <v>4</v>
      </c>
      <c r="C17" s="107">
        <f>'Q3 Base'!C13</f>
        <v>3.0400000000000002E-3</v>
      </c>
      <c r="D17" s="107">
        <f t="shared" si="0"/>
        <v>0.98793185708549769</v>
      </c>
      <c r="E17" s="107"/>
      <c r="F17" s="111">
        <f t="shared" si="1"/>
        <v>0.75</v>
      </c>
      <c r="G17" s="111">
        <f t="shared" si="2"/>
        <v>0.74094889281412324</v>
      </c>
      <c r="H17" s="111">
        <f t="shared" si="3"/>
        <v>2.963795571256493</v>
      </c>
      <c r="I17" s="111"/>
      <c r="J17" s="111">
        <f t="shared" si="1"/>
        <v>1.25</v>
      </c>
      <c r="K17" s="111">
        <f t="shared" si="4"/>
        <v>1.2349148213568721</v>
      </c>
      <c r="L17" s="111">
        <f t="shared" si="5"/>
        <v>4.9396592854274886</v>
      </c>
      <c r="M17" s="111"/>
      <c r="N17" s="111">
        <f t="shared" si="1"/>
        <v>0.87500000000000011</v>
      </c>
      <c r="O17" s="111">
        <f t="shared" si="6"/>
        <v>0.86444037494981063</v>
      </c>
      <c r="P17" s="111">
        <f t="shared" si="7"/>
        <v>3.4577614997992425</v>
      </c>
    </row>
    <row r="18" spans="2:16" x14ac:dyDescent="0.25">
      <c r="B18" s="107">
        <f>'Q3 Base'!B14</f>
        <v>4.5</v>
      </c>
      <c r="C18" s="107">
        <f>'Q3 Base'!C14</f>
        <v>3.7299999999999998E-3</v>
      </c>
      <c r="D18" s="107">
        <f t="shared" si="0"/>
        <v>0.98338579036969953</v>
      </c>
      <c r="E18" s="107"/>
      <c r="F18" s="111">
        <f t="shared" si="1"/>
        <v>0.75</v>
      </c>
      <c r="G18" s="111">
        <f t="shared" si="2"/>
        <v>0.73753934277727462</v>
      </c>
      <c r="H18" s="111">
        <f t="shared" si="3"/>
        <v>3.318927042497736</v>
      </c>
      <c r="I18" s="111"/>
      <c r="J18" s="111">
        <f t="shared" si="1"/>
        <v>1.25</v>
      </c>
      <c r="K18" s="111">
        <f t="shared" si="4"/>
        <v>1.2292322379621243</v>
      </c>
      <c r="L18" s="111">
        <f t="shared" si="5"/>
        <v>5.5315450708295595</v>
      </c>
      <c r="M18" s="111"/>
      <c r="N18" s="111">
        <f t="shared" si="1"/>
        <v>0.87500000000000011</v>
      </c>
      <c r="O18" s="111">
        <f t="shared" si="6"/>
        <v>0.86046256657348719</v>
      </c>
      <c r="P18" s="111">
        <f t="shared" si="7"/>
        <v>3.8720815495806922</v>
      </c>
    </row>
    <row r="19" spans="2:16" x14ac:dyDescent="0.25">
      <c r="B19" s="107">
        <f>'Q3 Base'!B15</f>
        <v>5</v>
      </c>
      <c r="C19" s="107">
        <f>'Q3 Base'!C15</f>
        <v>3.5799999999999998E-3</v>
      </c>
      <c r="D19" s="107">
        <f t="shared" si="0"/>
        <v>0.98229065152963346</v>
      </c>
      <c r="E19" s="107"/>
      <c r="F19" s="111">
        <f t="shared" si="1"/>
        <v>0.75</v>
      </c>
      <c r="G19" s="111">
        <f t="shared" si="2"/>
        <v>0.73671798864722504</v>
      </c>
      <c r="H19" s="111">
        <f t="shared" si="3"/>
        <v>3.6835899432361252</v>
      </c>
      <c r="I19" s="111"/>
      <c r="J19" s="111">
        <f t="shared" si="1"/>
        <v>1.25</v>
      </c>
      <c r="K19" s="111">
        <f t="shared" si="4"/>
        <v>1.2278633144120419</v>
      </c>
      <c r="L19" s="111">
        <f t="shared" si="5"/>
        <v>6.1393165720602099</v>
      </c>
      <c r="M19" s="111"/>
      <c r="N19" s="111">
        <f t="shared" si="1"/>
        <v>0.87500000000000011</v>
      </c>
      <c r="O19" s="111">
        <f t="shared" si="6"/>
        <v>0.85950432008842936</v>
      </c>
      <c r="P19" s="111">
        <f t="shared" si="7"/>
        <v>4.2975216004421473</v>
      </c>
    </row>
    <row r="20" spans="2:16" x14ac:dyDescent="0.25">
      <c r="B20" s="107">
        <f>'Q3 Base'!B16</f>
        <v>5.5</v>
      </c>
      <c r="C20" s="107">
        <f>'Q3 Base'!C16</f>
        <v>4.1099999999999999E-3</v>
      </c>
      <c r="D20" s="107">
        <f t="shared" si="0"/>
        <v>0.97769387067575408</v>
      </c>
      <c r="E20" s="107"/>
      <c r="F20" s="111">
        <f t="shared" si="1"/>
        <v>0.75</v>
      </c>
      <c r="G20" s="111">
        <f t="shared" si="2"/>
        <v>0.73327040300681556</v>
      </c>
      <c r="H20" s="111">
        <f t="shared" si="3"/>
        <v>4.0329872165374852</v>
      </c>
      <c r="I20" s="111"/>
      <c r="J20" s="111">
        <f t="shared" si="1"/>
        <v>1.25</v>
      </c>
      <c r="K20" s="111">
        <f t="shared" si="4"/>
        <v>1.2221173383446926</v>
      </c>
      <c r="L20" s="111">
        <f t="shared" si="5"/>
        <v>6.7216453608958098</v>
      </c>
      <c r="M20" s="111"/>
      <c r="N20" s="111">
        <f t="shared" si="1"/>
        <v>0.87500000000000011</v>
      </c>
      <c r="O20" s="111">
        <f t="shared" si="6"/>
        <v>0.85548213684128493</v>
      </c>
      <c r="P20" s="111">
        <f t="shared" si="7"/>
        <v>4.7051517526270672</v>
      </c>
    </row>
    <row r="21" spans="2:16" x14ac:dyDescent="0.25">
      <c r="B21" s="107">
        <f>'Q3 Base'!B17</f>
        <v>6</v>
      </c>
      <c r="C21" s="107">
        <f>'Q3 Base'!C17</f>
        <v>5.0400000000000002E-3</v>
      </c>
      <c r="D21" s="107">
        <f t="shared" si="0"/>
        <v>0.97028634474081688</v>
      </c>
      <c r="E21" s="107"/>
      <c r="F21" s="111">
        <f t="shared" si="1"/>
        <v>0.75</v>
      </c>
      <c r="G21" s="111">
        <f t="shared" si="2"/>
        <v>0.72771475855561263</v>
      </c>
      <c r="H21" s="111">
        <f t="shared" si="3"/>
        <v>4.3662885513336755</v>
      </c>
      <c r="I21" s="111"/>
      <c r="J21" s="111">
        <f t="shared" si="1"/>
        <v>1.25</v>
      </c>
      <c r="K21" s="111">
        <f t="shared" si="4"/>
        <v>1.212857930926021</v>
      </c>
      <c r="L21" s="111">
        <f t="shared" si="5"/>
        <v>7.2771475855561256</v>
      </c>
      <c r="M21" s="111"/>
      <c r="N21" s="111">
        <f t="shared" si="1"/>
        <v>0.87500000000000011</v>
      </c>
      <c r="O21" s="111">
        <f t="shared" si="6"/>
        <v>0.84900055164821486</v>
      </c>
      <c r="P21" s="111">
        <f t="shared" si="7"/>
        <v>5.0940033098892892</v>
      </c>
    </row>
    <row r="22" spans="2:16" x14ac:dyDescent="0.25">
      <c r="B22" s="107">
        <f>'Q3 Base'!B18</f>
        <v>6.5</v>
      </c>
      <c r="C22" s="107">
        <f>'Q3 Base'!C18</f>
        <v>5.9899999999999997E-3</v>
      </c>
      <c r="D22" s="107">
        <f t="shared" si="0"/>
        <v>0.9619249429354898</v>
      </c>
      <c r="E22" s="107"/>
      <c r="F22" s="111">
        <f t="shared" si="1"/>
        <v>0.75</v>
      </c>
      <c r="G22" s="111">
        <f t="shared" si="2"/>
        <v>0.72144370720161732</v>
      </c>
      <c r="H22" s="111">
        <f t="shared" si="3"/>
        <v>4.6893840968105129</v>
      </c>
      <c r="I22" s="111"/>
      <c r="J22" s="111">
        <f t="shared" si="1"/>
        <v>1.25</v>
      </c>
      <c r="K22" s="111">
        <f t="shared" si="4"/>
        <v>1.2024061786693623</v>
      </c>
      <c r="L22" s="111">
        <f t="shared" si="5"/>
        <v>7.8156401613508546</v>
      </c>
      <c r="M22" s="111"/>
      <c r="N22" s="111">
        <f t="shared" si="1"/>
        <v>0.87500000000000011</v>
      </c>
      <c r="O22" s="111">
        <f t="shared" si="6"/>
        <v>0.84168432506855373</v>
      </c>
      <c r="P22" s="111">
        <f t="shared" si="7"/>
        <v>5.4709481129455995</v>
      </c>
    </row>
    <row r="23" spans="2:16" x14ac:dyDescent="0.25">
      <c r="B23" s="107">
        <f>'Q3 Base'!B19</f>
        <v>7</v>
      </c>
      <c r="C23" s="107">
        <f>'Q3 Base'!C19</f>
        <v>6.7000000000000002E-3</v>
      </c>
      <c r="D23" s="107">
        <f t="shared" si="0"/>
        <v>0.95433207292651889</v>
      </c>
      <c r="E23" s="107"/>
      <c r="F23" s="111">
        <f t="shared" si="1"/>
        <v>0.75</v>
      </c>
      <c r="G23" s="111">
        <f t="shared" si="2"/>
        <v>0.71574905469488914</v>
      </c>
      <c r="H23" s="111">
        <f t="shared" si="3"/>
        <v>5.0102433828642239</v>
      </c>
      <c r="I23" s="111"/>
      <c r="J23" s="111">
        <f t="shared" si="1"/>
        <v>1.25</v>
      </c>
      <c r="K23" s="111">
        <f t="shared" si="4"/>
        <v>1.1929150911581485</v>
      </c>
      <c r="L23" s="111">
        <f t="shared" si="5"/>
        <v>8.3504056381070395</v>
      </c>
      <c r="M23" s="111"/>
      <c r="N23" s="111">
        <f t="shared" si="1"/>
        <v>0.87500000000000011</v>
      </c>
      <c r="O23" s="111">
        <f t="shared" si="6"/>
        <v>0.83504056381070413</v>
      </c>
      <c r="P23" s="111">
        <f t="shared" si="7"/>
        <v>5.8452839466749289</v>
      </c>
    </row>
    <row r="24" spans="2:16" x14ac:dyDescent="0.25">
      <c r="B24" s="107">
        <f>'Q3 Base'!B20</f>
        <v>7.5</v>
      </c>
      <c r="C24" s="107">
        <f>'Q3 Base'!C20</f>
        <v>7.3800000000000003E-3</v>
      </c>
      <c r="D24" s="107">
        <f t="shared" si="0"/>
        <v>0.94634625403078187</v>
      </c>
      <c r="E24" s="107"/>
      <c r="F24" s="111">
        <f t="shared" si="1"/>
        <v>0.75</v>
      </c>
      <c r="G24" s="111">
        <f t="shared" si="2"/>
        <v>0.70975969052308641</v>
      </c>
      <c r="H24" s="111">
        <f t="shared" si="3"/>
        <v>5.3231976789231483</v>
      </c>
      <c r="I24" s="111"/>
      <c r="J24" s="111">
        <f t="shared" si="1"/>
        <v>1.25</v>
      </c>
      <c r="K24" s="111">
        <f t="shared" si="4"/>
        <v>1.1829328175384775</v>
      </c>
      <c r="L24" s="111">
        <f t="shared" si="5"/>
        <v>8.8719961315385802</v>
      </c>
      <c r="M24" s="111"/>
      <c r="N24" s="111">
        <f t="shared" si="1"/>
        <v>0.87500000000000011</v>
      </c>
      <c r="O24" s="111">
        <f t="shared" si="6"/>
        <v>0.8280529722769342</v>
      </c>
      <c r="P24" s="111">
        <f t="shared" si="7"/>
        <v>6.2103972920770065</v>
      </c>
    </row>
    <row r="25" spans="2:16" x14ac:dyDescent="0.25">
      <c r="B25" s="107">
        <f>'Q3 Base'!B21</f>
        <v>8</v>
      </c>
      <c r="C25" s="107">
        <f>'Q3 Base'!C21</f>
        <v>8.0400000000000003E-3</v>
      </c>
      <c r="D25" s="107">
        <f t="shared" si="0"/>
        <v>0.93794608414992675</v>
      </c>
      <c r="E25" s="107"/>
      <c r="F25" s="111">
        <f t="shared" si="1"/>
        <v>0.75</v>
      </c>
      <c r="G25" s="111">
        <f t="shared" si="2"/>
        <v>0.70345956311244506</v>
      </c>
      <c r="H25" s="111">
        <f t="shared" si="3"/>
        <v>5.6276765048995605</v>
      </c>
      <c r="I25" s="111"/>
      <c r="J25" s="111">
        <f t="shared" si="1"/>
        <v>1.25</v>
      </c>
      <c r="K25" s="111">
        <f t="shared" si="4"/>
        <v>1.1724326051874083</v>
      </c>
      <c r="L25" s="111">
        <f t="shared" si="5"/>
        <v>9.3794608414992666</v>
      </c>
      <c r="M25" s="111"/>
      <c r="N25" s="111">
        <f t="shared" si="1"/>
        <v>0.87500000000000011</v>
      </c>
      <c r="O25" s="111">
        <f t="shared" si="6"/>
        <v>0.82070282363118596</v>
      </c>
      <c r="P25" s="111">
        <f t="shared" si="7"/>
        <v>6.5656225890494877</v>
      </c>
    </row>
    <row r="26" spans="2:16" x14ac:dyDescent="0.25">
      <c r="B26" s="107">
        <f>'Q3 Base'!B22</f>
        <v>8.5</v>
      </c>
      <c r="C26" s="107">
        <f>'Q3 Base'!C22</f>
        <v>8.2299999999999995E-3</v>
      </c>
      <c r="D26" s="107">
        <f t="shared" si="0"/>
        <v>0.93270276857593637</v>
      </c>
      <c r="E26" s="107"/>
      <c r="F26" s="111">
        <f t="shared" si="1"/>
        <v>0.75</v>
      </c>
      <c r="G26" s="111">
        <f t="shared" si="2"/>
        <v>0.69952707643195233</v>
      </c>
      <c r="H26" s="111">
        <f t="shared" si="3"/>
        <v>5.9459801496715947</v>
      </c>
      <c r="I26" s="111"/>
      <c r="J26" s="111">
        <f t="shared" si="1"/>
        <v>1.25</v>
      </c>
      <c r="K26" s="111">
        <f t="shared" si="4"/>
        <v>1.1658784607199204</v>
      </c>
      <c r="L26" s="111">
        <f t="shared" si="5"/>
        <v>9.9099669161193233</v>
      </c>
      <c r="M26" s="111"/>
      <c r="N26" s="111">
        <f t="shared" si="1"/>
        <v>0.87500000000000011</v>
      </c>
      <c r="O26" s="111">
        <f t="shared" si="6"/>
        <v>0.81611492250394446</v>
      </c>
      <c r="P26" s="111">
        <f t="shared" si="7"/>
        <v>6.9369768412835278</v>
      </c>
    </row>
    <row r="27" spans="2:16" x14ac:dyDescent="0.25">
      <c r="B27" s="107">
        <f>'Q3 Base'!B23</f>
        <v>9</v>
      </c>
      <c r="C27" s="107">
        <f>'Q3 Base'!C23</f>
        <v>8.8500000000000002E-3</v>
      </c>
      <c r="D27" s="107">
        <f t="shared" si="0"/>
        <v>0.92376311014958234</v>
      </c>
      <c r="E27" s="107"/>
      <c r="F27" s="111">
        <f t="shared" si="1"/>
        <v>0.75</v>
      </c>
      <c r="G27" s="111">
        <f t="shared" si="2"/>
        <v>0.69282233261218673</v>
      </c>
      <c r="H27" s="111">
        <f t="shared" si="3"/>
        <v>6.2354009935096801</v>
      </c>
      <c r="I27" s="111"/>
      <c r="J27" s="111">
        <f t="shared" si="1"/>
        <v>1.25</v>
      </c>
      <c r="K27" s="111">
        <f t="shared" si="4"/>
        <v>1.154703887686978</v>
      </c>
      <c r="L27" s="111">
        <f t="shared" si="5"/>
        <v>10.392334989182801</v>
      </c>
      <c r="M27" s="111"/>
      <c r="N27" s="111">
        <f t="shared" si="1"/>
        <v>0.87500000000000011</v>
      </c>
      <c r="O27" s="111">
        <f t="shared" si="6"/>
        <v>0.8082927213808847</v>
      </c>
      <c r="P27" s="111">
        <f t="shared" si="7"/>
        <v>7.2746344924279622</v>
      </c>
    </row>
    <row r="28" spans="2:16" x14ac:dyDescent="0.25">
      <c r="B28" s="107">
        <f>'Q3 Base'!B24</f>
        <v>9.5</v>
      </c>
      <c r="C28" s="107">
        <f>'Q3 Base'!C24</f>
        <v>9.7300000000000008E-3</v>
      </c>
      <c r="D28" s="107">
        <f t="shared" si="0"/>
        <v>0.91211591278485249</v>
      </c>
      <c r="E28" s="107"/>
      <c r="F28" s="111">
        <f t="shared" si="1"/>
        <v>0.75</v>
      </c>
      <c r="G28" s="111">
        <f t="shared" si="2"/>
        <v>0.68408693458863934</v>
      </c>
      <c r="H28" s="111">
        <f t="shared" si="3"/>
        <v>6.4988258785920738</v>
      </c>
      <c r="I28" s="111"/>
      <c r="J28" s="111">
        <f t="shared" si="1"/>
        <v>1.25</v>
      </c>
      <c r="K28" s="111">
        <f t="shared" si="4"/>
        <v>1.1401448909810656</v>
      </c>
      <c r="L28" s="111">
        <f t="shared" si="5"/>
        <v>10.831376464320124</v>
      </c>
      <c r="M28" s="111"/>
      <c r="N28" s="111">
        <f t="shared" si="1"/>
        <v>0.87500000000000011</v>
      </c>
      <c r="O28" s="111">
        <f t="shared" si="6"/>
        <v>0.79810142368674608</v>
      </c>
      <c r="P28" s="111">
        <f t="shared" si="7"/>
        <v>7.5819635250240882</v>
      </c>
    </row>
    <row r="29" spans="2:16" x14ac:dyDescent="0.25">
      <c r="B29" s="107">
        <f>'Q3 Base'!B25</f>
        <v>10</v>
      </c>
      <c r="C29" s="107">
        <f>'Q3 Base'!C25</f>
        <v>1.051E-2</v>
      </c>
      <c r="D29" s="107">
        <f t="shared" si="0"/>
        <v>0.90072837353835256</v>
      </c>
      <c r="E29" s="107"/>
      <c r="F29" s="111">
        <f>F$6*F$5/2 +F6</f>
        <v>100.75</v>
      </c>
      <c r="G29" s="111">
        <f t="shared" si="2"/>
        <v>90.748383633989022</v>
      </c>
      <c r="H29" s="111">
        <f t="shared" si="3"/>
        <v>907.48383633989022</v>
      </c>
      <c r="I29" s="111"/>
      <c r="J29" s="111">
        <f t="shared" si="1"/>
        <v>1.25</v>
      </c>
      <c r="K29" s="111">
        <f t="shared" si="4"/>
        <v>1.1259104669229407</v>
      </c>
      <c r="L29" s="111">
        <f t="shared" si="5"/>
        <v>11.259104669229407</v>
      </c>
      <c r="M29" s="111"/>
      <c r="N29" s="111">
        <f t="shared" si="1"/>
        <v>0.87500000000000011</v>
      </c>
      <c r="O29" s="111">
        <f t="shared" si="6"/>
        <v>0.78813732684605864</v>
      </c>
      <c r="P29" s="111">
        <f t="shared" si="7"/>
        <v>7.8813732684605862</v>
      </c>
    </row>
    <row r="30" spans="2:16" x14ac:dyDescent="0.25">
      <c r="B30" s="107">
        <f>'Q3 Base'!B26</f>
        <v>10.5</v>
      </c>
      <c r="C30" s="107">
        <f>'Q3 Base'!C26</f>
        <v>1.077E-2</v>
      </c>
      <c r="D30" s="107">
        <f t="shared" si="0"/>
        <v>0.89361488447590032</v>
      </c>
      <c r="E30" s="107"/>
      <c r="F30" s="111"/>
      <c r="G30" s="111">
        <f t="shared" si="2"/>
        <v>0</v>
      </c>
      <c r="H30" s="111">
        <f t="shared" si="3"/>
        <v>0</v>
      </c>
      <c r="I30" s="111"/>
      <c r="J30" s="111">
        <f t="shared" si="1"/>
        <v>1.25</v>
      </c>
      <c r="K30" s="111">
        <f t="shared" si="4"/>
        <v>1.1170186055948754</v>
      </c>
      <c r="L30" s="111">
        <f t="shared" si="5"/>
        <v>11.728695358746192</v>
      </c>
      <c r="M30" s="111"/>
      <c r="N30" s="111">
        <f t="shared" si="1"/>
        <v>0.87500000000000011</v>
      </c>
      <c r="O30" s="111">
        <f t="shared" si="6"/>
        <v>0.78191302391641293</v>
      </c>
      <c r="P30" s="111">
        <f t="shared" si="7"/>
        <v>8.2100867511223363</v>
      </c>
    </row>
    <row r="31" spans="2:16" x14ac:dyDescent="0.25">
      <c r="B31" s="107">
        <f>'Q3 Base'!B27</f>
        <v>11</v>
      </c>
      <c r="C31" s="107">
        <f>'Q3 Base'!C27</f>
        <v>1.0959999999999999E-2</v>
      </c>
      <c r="D31" s="107">
        <f t="shared" si="0"/>
        <v>0.88700547947839414</v>
      </c>
      <c r="E31" s="107"/>
      <c r="F31" s="111"/>
      <c r="G31" s="111">
        <f t="shared" si="2"/>
        <v>0</v>
      </c>
      <c r="H31" s="111">
        <f t="shared" si="3"/>
        <v>0</v>
      </c>
      <c r="I31" s="111"/>
      <c r="J31" s="111">
        <f t="shared" si="1"/>
        <v>1.25</v>
      </c>
      <c r="K31" s="111">
        <f t="shared" si="4"/>
        <v>1.1087568493479927</v>
      </c>
      <c r="L31" s="111">
        <f t="shared" si="5"/>
        <v>12.196325342827919</v>
      </c>
      <c r="M31" s="111"/>
      <c r="N31" s="111">
        <f t="shared" si="1"/>
        <v>0.87500000000000011</v>
      </c>
      <c r="O31" s="111">
        <f t="shared" si="6"/>
        <v>0.77612979454359499</v>
      </c>
      <c r="P31" s="111">
        <f t="shared" si="7"/>
        <v>8.5374277399795453</v>
      </c>
    </row>
    <row r="32" spans="2:16" x14ac:dyDescent="0.25">
      <c r="B32" s="107">
        <f>'Q3 Base'!B28</f>
        <v>11.5</v>
      </c>
      <c r="C32" s="107">
        <f>'Q3 Base'!C28</f>
        <v>1.1140000000000001E-2</v>
      </c>
      <c r="D32" s="107">
        <f t="shared" si="0"/>
        <v>0.88037996800188245</v>
      </c>
      <c r="E32" s="107"/>
      <c r="F32" s="111"/>
      <c r="G32" s="111">
        <f t="shared" si="2"/>
        <v>0</v>
      </c>
      <c r="H32" s="111">
        <f t="shared" si="3"/>
        <v>0</v>
      </c>
      <c r="I32" s="111"/>
      <c r="J32" s="111">
        <f t="shared" si="1"/>
        <v>1.25</v>
      </c>
      <c r="K32" s="111">
        <f t="shared" si="4"/>
        <v>1.1004749600023531</v>
      </c>
      <c r="L32" s="111">
        <f t="shared" si="5"/>
        <v>12.655462040027061</v>
      </c>
      <c r="M32" s="111"/>
      <c r="N32" s="111">
        <f t="shared" si="1"/>
        <v>0.87500000000000011</v>
      </c>
      <c r="O32" s="111">
        <f t="shared" si="6"/>
        <v>0.77033247200164723</v>
      </c>
      <c r="P32" s="111">
        <f t="shared" si="7"/>
        <v>8.858823428018944</v>
      </c>
    </row>
    <row r="33" spans="2:16" x14ac:dyDescent="0.25">
      <c r="B33" s="107">
        <f>'Q3 Base'!B29</f>
        <v>12</v>
      </c>
      <c r="C33" s="107">
        <f>'Q3 Base'!C29</f>
        <v>1.125E-2</v>
      </c>
      <c r="D33" s="107">
        <f t="shared" si="0"/>
        <v>0.8743747034781697</v>
      </c>
      <c r="E33" s="107"/>
      <c r="F33" s="111"/>
      <c r="G33" s="111">
        <f t="shared" si="2"/>
        <v>0</v>
      </c>
      <c r="H33" s="111">
        <f t="shared" si="3"/>
        <v>0</v>
      </c>
      <c r="I33" s="111"/>
      <c r="J33" s="111">
        <f t="shared" si="1"/>
        <v>1.25</v>
      </c>
      <c r="K33" s="111">
        <f t="shared" si="4"/>
        <v>1.0929683793477121</v>
      </c>
      <c r="L33" s="111">
        <f t="shared" si="5"/>
        <v>13.115620552172544</v>
      </c>
      <c r="M33" s="111"/>
      <c r="N33" s="111">
        <f t="shared" si="1"/>
        <v>0.87500000000000011</v>
      </c>
      <c r="O33" s="111">
        <f t="shared" si="6"/>
        <v>0.76507786554339863</v>
      </c>
      <c r="P33" s="111">
        <f t="shared" si="7"/>
        <v>9.180934386520784</v>
      </c>
    </row>
    <row r="34" spans="2:16" x14ac:dyDescent="0.25">
      <c r="B34" s="107">
        <f>'Q3 Base'!B30</f>
        <v>12.5</v>
      </c>
      <c r="C34" s="107">
        <f>'Q3 Base'!C30</f>
        <v>1.1429999999999999E-2</v>
      </c>
      <c r="D34" s="107">
        <f t="shared" si="0"/>
        <v>0.86756517657594645</v>
      </c>
      <c r="E34" s="107"/>
      <c r="F34" s="111"/>
      <c r="G34" s="111">
        <f t="shared" si="2"/>
        <v>0</v>
      </c>
      <c r="H34" s="111">
        <f t="shared" si="3"/>
        <v>0</v>
      </c>
      <c r="I34" s="111"/>
      <c r="J34" s="111">
        <f t="shared" si="1"/>
        <v>1.25</v>
      </c>
      <c r="K34" s="111">
        <f t="shared" si="4"/>
        <v>1.0844564707199331</v>
      </c>
      <c r="L34" s="111">
        <f t="shared" si="5"/>
        <v>13.555705883999163</v>
      </c>
      <c r="M34" s="111"/>
      <c r="N34" s="111">
        <f t="shared" si="1"/>
        <v>0.87500000000000011</v>
      </c>
      <c r="O34" s="111">
        <f t="shared" si="6"/>
        <v>0.75911952950395323</v>
      </c>
      <c r="P34" s="111">
        <f t="shared" si="7"/>
        <v>9.4889941187994147</v>
      </c>
    </row>
    <row r="35" spans="2:16" x14ac:dyDescent="0.25">
      <c r="B35" s="107">
        <f>'Q3 Base'!B31</f>
        <v>13</v>
      </c>
      <c r="C35" s="107">
        <f>'Q3 Base'!C31</f>
        <v>1.2070000000000001E-2</v>
      </c>
      <c r="D35" s="107">
        <f t="shared" si="0"/>
        <v>0.85558434449153642</v>
      </c>
      <c r="E35" s="107"/>
      <c r="F35" s="111"/>
      <c r="G35" s="111">
        <f t="shared" si="2"/>
        <v>0</v>
      </c>
      <c r="H35" s="111">
        <f t="shared" si="3"/>
        <v>0</v>
      </c>
      <c r="I35" s="111"/>
      <c r="J35" s="111">
        <f t="shared" si="1"/>
        <v>1.25</v>
      </c>
      <c r="K35" s="111">
        <f t="shared" si="4"/>
        <v>1.0694804306144206</v>
      </c>
      <c r="L35" s="111">
        <f t="shared" si="5"/>
        <v>13.903245597987468</v>
      </c>
      <c r="M35" s="111"/>
      <c r="N35" s="111">
        <f t="shared" si="1"/>
        <v>0.87500000000000011</v>
      </c>
      <c r="O35" s="111">
        <f t="shared" si="6"/>
        <v>0.74863630143009441</v>
      </c>
      <c r="P35" s="111">
        <f t="shared" si="7"/>
        <v>9.732271918591227</v>
      </c>
    </row>
    <row r="36" spans="2:16" x14ac:dyDescent="0.25">
      <c r="B36" s="107">
        <f>'Q3 Base'!B32</f>
        <v>13.5</v>
      </c>
      <c r="C36" s="107">
        <f>'Q3 Base'!C32</f>
        <v>1.2710000000000001E-2</v>
      </c>
      <c r="D36" s="107">
        <f t="shared" si="0"/>
        <v>0.8432399446326404</v>
      </c>
      <c r="E36" s="107"/>
      <c r="F36" s="111"/>
      <c r="G36" s="111">
        <f t="shared" si="2"/>
        <v>0</v>
      </c>
      <c r="H36" s="111">
        <f t="shared" si="3"/>
        <v>0</v>
      </c>
      <c r="I36" s="111"/>
      <c r="J36" s="111">
        <f t="shared" si="1"/>
        <v>1.25</v>
      </c>
      <c r="K36" s="111">
        <f t="shared" si="4"/>
        <v>1.0540499307908004</v>
      </c>
      <c r="L36" s="111">
        <f t="shared" si="5"/>
        <v>14.229674065675805</v>
      </c>
      <c r="M36" s="111"/>
      <c r="N36" s="111">
        <f t="shared" si="1"/>
        <v>0.87500000000000011</v>
      </c>
      <c r="O36" s="111">
        <f t="shared" si="6"/>
        <v>0.73783495155356049</v>
      </c>
      <c r="P36" s="111">
        <f t="shared" si="7"/>
        <v>9.960771845973067</v>
      </c>
    </row>
    <row r="37" spans="2:16" x14ac:dyDescent="0.25">
      <c r="B37" s="107">
        <f>'Q3 Base'!B33</f>
        <v>14</v>
      </c>
      <c r="C37" s="107">
        <f>'Q3 Base'!C33</f>
        <v>1.336E-2</v>
      </c>
      <c r="D37" s="107">
        <f t="shared" si="0"/>
        <v>0.83043834532372907</v>
      </c>
      <c r="E37" s="107"/>
      <c r="F37" s="111"/>
      <c r="G37" s="111">
        <f t="shared" si="2"/>
        <v>0</v>
      </c>
      <c r="H37" s="111">
        <f t="shared" si="3"/>
        <v>0</v>
      </c>
      <c r="I37" s="111"/>
      <c r="J37" s="111">
        <f t="shared" si="1"/>
        <v>1.25</v>
      </c>
      <c r="K37" s="111">
        <f t="shared" si="4"/>
        <v>1.0380479316546614</v>
      </c>
      <c r="L37" s="111">
        <f t="shared" si="5"/>
        <v>14.532671043165259</v>
      </c>
      <c r="M37" s="111"/>
      <c r="N37" s="111">
        <f t="shared" si="1"/>
        <v>0.87500000000000011</v>
      </c>
      <c r="O37" s="111">
        <f t="shared" si="6"/>
        <v>0.72663355215826297</v>
      </c>
      <c r="P37" s="111">
        <f t="shared" si="7"/>
        <v>10.172869730215682</v>
      </c>
    </row>
    <row r="38" spans="2:16" x14ac:dyDescent="0.25">
      <c r="B38" s="107">
        <f>'Q3 Base'!B34</f>
        <v>14.5</v>
      </c>
      <c r="C38" s="107">
        <f>'Q3 Base'!C34</f>
        <v>1.3990000000000001E-2</v>
      </c>
      <c r="D38" s="107">
        <f t="shared" si="0"/>
        <v>0.81754516811710898</v>
      </c>
      <c r="E38" s="107"/>
      <c r="F38" s="111"/>
      <c r="G38" s="111">
        <f t="shared" si="2"/>
        <v>0</v>
      </c>
      <c r="H38" s="111">
        <f t="shared" si="3"/>
        <v>0</v>
      </c>
      <c r="I38" s="111"/>
      <c r="J38" s="111">
        <f t="shared" si="1"/>
        <v>1.25</v>
      </c>
      <c r="K38" s="111">
        <f t="shared" si="4"/>
        <v>1.0219314601463863</v>
      </c>
      <c r="L38" s="111">
        <f t="shared" si="5"/>
        <v>14.818006172122601</v>
      </c>
      <c r="M38" s="111"/>
      <c r="N38" s="111">
        <f t="shared" si="1"/>
        <v>0.87500000000000011</v>
      </c>
      <c r="O38" s="111">
        <f t="shared" si="6"/>
        <v>0.7153520221024704</v>
      </c>
      <c r="P38" s="111">
        <f t="shared" si="7"/>
        <v>10.37260432048582</v>
      </c>
    </row>
    <row r="39" spans="2:16" x14ac:dyDescent="0.25">
      <c r="B39" s="107">
        <f>'Q3 Base'!B35</f>
        <v>15</v>
      </c>
      <c r="C39" s="107">
        <f>'Q3 Base'!C35</f>
        <v>1.4370000000000001E-2</v>
      </c>
      <c r="D39" s="107">
        <f t="shared" si="0"/>
        <v>0.80733550633211193</v>
      </c>
      <c r="E39" s="107"/>
      <c r="F39" s="111"/>
      <c r="G39" s="111">
        <f t="shared" si="2"/>
        <v>0</v>
      </c>
      <c r="H39" s="111">
        <f t="shared" si="3"/>
        <v>0</v>
      </c>
      <c r="I39" s="111"/>
      <c r="J39" s="111">
        <f>J$6*J$5/2 +J6</f>
        <v>101.25</v>
      </c>
      <c r="K39" s="111">
        <f t="shared" si="4"/>
        <v>81.742720016126327</v>
      </c>
      <c r="L39" s="111">
        <f t="shared" si="5"/>
        <v>1226.1408002418948</v>
      </c>
      <c r="M39" s="111"/>
      <c r="N39" s="111">
        <f t="shared" si="1"/>
        <v>0.87500000000000011</v>
      </c>
      <c r="O39" s="111">
        <f t="shared" si="6"/>
        <v>0.70641856804059799</v>
      </c>
      <c r="P39" s="111">
        <f t="shared" si="7"/>
        <v>10.596278520608969</v>
      </c>
    </row>
    <row r="40" spans="2:16" x14ac:dyDescent="0.25">
      <c r="B40" s="107">
        <f>'Q3 Base'!B36</f>
        <v>15.5</v>
      </c>
      <c r="C40" s="107">
        <f>'Q3 Base'!C36</f>
        <v>1.4760000000000001E-2</v>
      </c>
      <c r="D40" s="107">
        <f t="shared" si="0"/>
        <v>0.79683469108527316</v>
      </c>
      <c r="E40" s="107"/>
      <c r="F40" s="111"/>
      <c r="G40" s="111">
        <f t="shared" si="2"/>
        <v>0</v>
      </c>
      <c r="H40" s="111">
        <f t="shared" si="3"/>
        <v>0</v>
      </c>
      <c r="I40" s="111"/>
      <c r="J40" s="111"/>
      <c r="K40" s="111">
        <f t="shared" si="4"/>
        <v>0</v>
      </c>
      <c r="L40" s="111">
        <f t="shared" si="5"/>
        <v>0</v>
      </c>
      <c r="M40" s="111"/>
      <c r="N40" s="111">
        <f t="shared" si="1"/>
        <v>0.87500000000000011</v>
      </c>
      <c r="O40" s="111">
        <f t="shared" si="6"/>
        <v>0.69723035469961414</v>
      </c>
      <c r="P40" s="111">
        <f t="shared" si="7"/>
        <v>10.80707049784402</v>
      </c>
    </row>
    <row r="41" spans="2:16" x14ac:dyDescent="0.25">
      <c r="B41" s="107">
        <f>'Q3 Base'!B37</f>
        <v>16</v>
      </c>
      <c r="C41" s="107">
        <f>'Q3 Base'!C37</f>
        <v>1.5140000000000001E-2</v>
      </c>
      <c r="D41" s="107">
        <f t="shared" si="0"/>
        <v>0.78629397359870856</v>
      </c>
      <c r="E41" s="107"/>
      <c r="F41" s="111"/>
      <c r="G41" s="111">
        <f t="shared" si="2"/>
        <v>0</v>
      </c>
      <c r="H41" s="111">
        <f t="shared" si="3"/>
        <v>0</v>
      </c>
      <c r="I41" s="111"/>
      <c r="J41" s="111"/>
      <c r="K41" s="111">
        <f t="shared" si="4"/>
        <v>0</v>
      </c>
      <c r="L41" s="111">
        <f t="shared" si="5"/>
        <v>0</v>
      </c>
      <c r="M41" s="111"/>
      <c r="N41" s="111">
        <f t="shared" si="1"/>
        <v>0.87500000000000011</v>
      </c>
      <c r="O41" s="111">
        <f t="shared" si="6"/>
        <v>0.68800722689887006</v>
      </c>
      <c r="P41" s="111">
        <f t="shared" si="7"/>
        <v>11.008115630381921</v>
      </c>
    </row>
    <row r="42" spans="2:16" x14ac:dyDescent="0.25">
      <c r="B42" s="107">
        <f>'Q3 Base'!B38</f>
        <v>16.5</v>
      </c>
      <c r="C42" s="107">
        <f>'Q3 Base'!C38</f>
        <v>1.54E-2</v>
      </c>
      <c r="D42" s="107">
        <f t="shared" si="0"/>
        <v>0.77711783348619012</v>
      </c>
      <c r="E42" s="107"/>
      <c r="F42" s="111"/>
      <c r="G42" s="111">
        <f t="shared" si="2"/>
        <v>0</v>
      </c>
      <c r="H42" s="111">
        <f t="shared" si="3"/>
        <v>0</v>
      </c>
      <c r="I42" s="111"/>
      <c r="J42" s="111"/>
      <c r="K42" s="111">
        <f t="shared" si="4"/>
        <v>0</v>
      </c>
      <c r="L42" s="111">
        <f t="shared" si="5"/>
        <v>0</v>
      </c>
      <c r="M42" s="111"/>
      <c r="N42" s="111">
        <f t="shared" si="1"/>
        <v>0.87500000000000011</v>
      </c>
      <c r="O42" s="111">
        <f t="shared" si="6"/>
        <v>0.6799781043004165</v>
      </c>
      <c r="P42" s="111">
        <f t="shared" si="7"/>
        <v>11.219638720956873</v>
      </c>
    </row>
    <row r="43" spans="2:16" x14ac:dyDescent="0.25">
      <c r="B43" s="107">
        <f>'Q3 Base'!B39</f>
        <v>17</v>
      </c>
      <c r="C43" s="107">
        <f>'Q3 Base'!C39</f>
        <v>1.566E-2</v>
      </c>
      <c r="D43" s="107">
        <f t="shared" si="0"/>
        <v>0.76785297176917167</v>
      </c>
      <c r="E43" s="107"/>
      <c r="F43" s="111"/>
      <c r="G43" s="111">
        <f t="shared" si="2"/>
        <v>0</v>
      </c>
      <c r="H43" s="111">
        <f t="shared" si="3"/>
        <v>0</v>
      </c>
      <c r="I43" s="111"/>
      <c r="J43" s="111"/>
      <c r="K43" s="111">
        <f t="shared" si="4"/>
        <v>0</v>
      </c>
      <c r="L43" s="111">
        <f t="shared" si="5"/>
        <v>0</v>
      </c>
      <c r="M43" s="111"/>
      <c r="N43" s="111">
        <f t="shared" si="1"/>
        <v>0.87500000000000011</v>
      </c>
      <c r="O43" s="111">
        <f t="shared" si="6"/>
        <v>0.67187135029802525</v>
      </c>
      <c r="P43" s="111">
        <f t="shared" si="7"/>
        <v>11.421812955066429</v>
      </c>
    </row>
    <row r="44" spans="2:16" x14ac:dyDescent="0.25">
      <c r="B44" s="107">
        <f>'Q3 Base'!B40</f>
        <v>17.5</v>
      </c>
      <c r="C44" s="107">
        <f>'Q3 Base'!C40</f>
        <v>1.592E-2</v>
      </c>
      <c r="D44" s="107">
        <f t="shared" si="0"/>
        <v>0.75850521619765987</v>
      </c>
      <c r="E44" s="107"/>
      <c r="F44" s="111"/>
      <c r="G44" s="111">
        <f t="shared" si="2"/>
        <v>0</v>
      </c>
      <c r="H44" s="111">
        <f t="shared" si="3"/>
        <v>0</v>
      </c>
      <c r="I44" s="111"/>
      <c r="J44" s="111"/>
      <c r="K44" s="111">
        <f t="shared" si="4"/>
        <v>0</v>
      </c>
      <c r="L44" s="111">
        <f t="shared" si="5"/>
        <v>0</v>
      </c>
      <c r="M44" s="111"/>
      <c r="N44" s="111">
        <f t="shared" si="1"/>
        <v>0.87500000000000011</v>
      </c>
      <c r="O44" s="111">
        <f t="shared" si="6"/>
        <v>0.66369206417295246</v>
      </c>
      <c r="P44" s="111">
        <f t="shared" si="7"/>
        <v>11.614611123026668</v>
      </c>
    </row>
    <row r="45" spans="2:16" x14ac:dyDescent="0.25">
      <c r="B45" s="107">
        <f>'Q3 Base'!B41</f>
        <v>18</v>
      </c>
      <c r="C45" s="107">
        <f>'Q3 Base'!C41</f>
        <v>1.618E-2</v>
      </c>
      <c r="D45" s="107">
        <f t="shared" si="0"/>
        <v>0.74908038454283199</v>
      </c>
      <c r="E45" s="107"/>
      <c r="F45" s="111"/>
      <c r="G45" s="111">
        <f t="shared" si="2"/>
        <v>0</v>
      </c>
      <c r="H45" s="111">
        <f t="shared" si="3"/>
        <v>0</v>
      </c>
      <c r="I45" s="111"/>
      <c r="J45" s="111"/>
      <c r="K45" s="111">
        <f t="shared" si="4"/>
        <v>0</v>
      </c>
      <c r="L45" s="111">
        <f t="shared" si="5"/>
        <v>0</v>
      </c>
      <c r="M45" s="111"/>
      <c r="N45" s="111">
        <f t="shared" si="1"/>
        <v>0.87500000000000011</v>
      </c>
      <c r="O45" s="111">
        <f t="shared" si="6"/>
        <v>0.65544533647497805</v>
      </c>
      <c r="P45" s="111">
        <f t="shared" si="7"/>
        <v>11.798016056549605</v>
      </c>
    </row>
    <row r="46" spans="2:16" x14ac:dyDescent="0.25">
      <c r="B46" s="107">
        <f>'Q3 Base'!B42</f>
        <v>18.5</v>
      </c>
      <c r="C46" s="107">
        <f>'Q3 Base'!C42</f>
        <v>1.6420000000000001E-2</v>
      </c>
      <c r="D46" s="107">
        <f t="shared" si="0"/>
        <v>0.73985355064040448</v>
      </c>
      <c r="E46" s="107"/>
      <c r="F46" s="111"/>
      <c r="G46" s="111">
        <f t="shared" si="2"/>
        <v>0</v>
      </c>
      <c r="H46" s="111">
        <f t="shared" si="3"/>
        <v>0</v>
      </c>
      <c r="I46" s="111"/>
      <c r="J46" s="111"/>
      <c r="K46" s="111">
        <f t="shared" si="4"/>
        <v>0</v>
      </c>
      <c r="L46" s="111">
        <f t="shared" si="5"/>
        <v>0</v>
      </c>
      <c r="M46" s="111"/>
      <c r="N46" s="111">
        <f t="shared" si="1"/>
        <v>0.87500000000000011</v>
      </c>
      <c r="O46" s="111">
        <f t="shared" si="6"/>
        <v>0.64737185681035403</v>
      </c>
      <c r="P46" s="111">
        <f t="shared" si="7"/>
        <v>11.97637935099155</v>
      </c>
    </row>
    <row r="47" spans="2:16" x14ac:dyDescent="0.25">
      <c r="B47" s="107">
        <f>'Q3 Base'!B43</f>
        <v>19</v>
      </c>
      <c r="C47" s="107">
        <f>'Q3 Base'!C43</f>
        <v>1.6639999999999999E-2</v>
      </c>
      <c r="D47" s="107">
        <f t="shared" si="0"/>
        <v>0.73084171861423175</v>
      </c>
      <c r="E47" s="107"/>
      <c r="F47" s="111"/>
      <c r="G47" s="111">
        <f t="shared" si="2"/>
        <v>0</v>
      </c>
      <c r="H47" s="111">
        <f t="shared" si="3"/>
        <v>0</v>
      </c>
      <c r="J47" s="111"/>
      <c r="K47" s="111">
        <f t="shared" si="4"/>
        <v>0</v>
      </c>
      <c r="L47" s="111">
        <f t="shared" si="5"/>
        <v>0</v>
      </c>
      <c r="M47" s="111"/>
      <c r="N47" s="111">
        <f t="shared" si="1"/>
        <v>0.87500000000000011</v>
      </c>
      <c r="O47" s="111">
        <f t="shared" si="6"/>
        <v>0.63948650378745286</v>
      </c>
      <c r="P47" s="111">
        <f t="shared" si="7"/>
        <v>12.150243571961605</v>
      </c>
    </row>
    <row r="48" spans="2:16" x14ac:dyDescent="0.25">
      <c r="B48" s="107">
        <f>'Q3 Base'!B44</f>
        <v>19.5</v>
      </c>
      <c r="C48" s="107">
        <f>'Q3 Base'!C44</f>
        <v>1.687E-2</v>
      </c>
      <c r="D48" s="107">
        <f t="shared" si="0"/>
        <v>0.72164568748153446</v>
      </c>
      <c r="E48" s="107"/>
      <c r="F48" s="111"/>
      <c r="G48" s="111">
        <f t="shared" si="2"/>
        <v>0</v>
      </c>
      <c r="H48" s="111">
        <f t="shared" si="3"/>
        <v>0</v>
      </c>
      <c r="J48" s="111"/>
      <c r="K48" s="111">
        <f t="shared" si="4"/>
        <v>0</v>
      </c>
      <c r="L48" s="111">
        <f t="shared" si="5"/>
        <v>0</v>
      </c>
      <c r="M48" s="111"/>
      <c r="N48" s="111">
        <f t="shared" si="1"/>
        <v>0.87500000000000011</v>
      </c>
      <c r="O48" s="111">
        <f t="shared" si="6"/>
        <v>0.63143997654634276</v>
      </c>
      <c r="P48" s="111">
        <f t="shared" si="7"/>
        <v>12.313079542653684</v>
      </c>
    </row>
    <row r="49" spans="2:16" x14ac:dyDescent="0.25">
      <c r="B49" s="107">
        <f>'Q3 Base'!B45</f>
        <v>20</v>
      </c>
      <c r="C49" s="107">
        <f>'Q3 Base'!C45</f>
        <v>1.703E-2</v>
      </c>
      <c r="D49" s="107">
        <f t="shared" si="0"/>
        <v>0.71338623360228071</v>
      </c>
      <c r="E49" s="107"/>
      <c r="F49" s="111"/>
      <c r="G49" s="111">
        <f t="shared" si="2"/>
        <v>0</v>
      </c>
      <c r="H49" s="111">
        <f t="shared" si="3"/>
        <v>0</v>
      </c>
      <c r="J49" s="111"/>
      <c r="K49" s="111">
        <f t="shared" si="4"/>
        <v>0</v>
      </c>
      <c r="L49" s="111">
        <f t="shared" si="5"/>
        <v>0</v>
      </c>
      <c r="M49" s="111"/>
      <c r="N49" s="111">
        <f t="shared" si="1"/>
        <v>0.87500000000000011</v>
      </c>
      <c r="O49" s="111">
        <f t="shared" si="6"/>
        <v>0.62421295440199565</v>
      </c>
      <c r="P49" s="111">
        <f t="shared" si="7"/>
        <v>12.484259088039913</v>
      </c>
    </row>
    <row r="50" spans="2:16" x14ac:dyDescent="0.25">
      <c r="B50" s="107">
        <f>'Q3 Base'!B46</f>
        <v>20.5</v>
      </c>
      <c r="C50" s="107">
        <f>'Q3 Base'!C46</f>
        <v>1.7139999999999999E-2</v>
      </c>
      <c r="D50" s="107">
        <f t="shared" si="0"/>
        <v>0.70582162359820289</v>
      </c>
      <c r="E50" s="107"/>
      <c r="G50" s="111">
        <f t="shared" si="2"/>
        <v>0</v>
      </c>
      <c r="H50" s="111">
        <f t="shared" si="3"/>
        <v>0</v>
      </c>
      <c r="K50" s="111">
        <f t="shared" si="4"/>
        <v>0</v>
      </c>
      <c r="L50" s="111">
        <f t="shared" si="5"/>
        <v>0</v>
      </c>
      <c r="M50" s="111"/>
      <c r="N50" s="111">
        <f t="shared" ref="N50:N58" si="8">N$6*N$5/2</f>
        <v>0.87500000000000011</v>
      </c>
      <c r="O50" s="111">
        <f t="shared" si="6"/>
        <v>0.61759392064842755</v>
      </c>
      <c r="P50" s="111">
        <f t="shared" si="7"/>
        <v>12.660675373292765</v>
      </c>
    </row>
    <row r="51" spans="2:16" x14ac:dyDescent="0.25">
      <c r="B51" s="107">
        <f>'Q3 Base'!B47</f>
        <v>21</v>
      </c>
      <c r="C51" s="107">
        <f>'Q3 Base'!C47</f>
        <v>1.7260000000000001E-2</v>
      </c>
      <c r="D51" s="107">
        <f t="shared" si="0"/>
        <v>0.69811774327405463</v>
      </c>
      <c r="E51" s="107"/>
      <c r="G51" s="111">
        <f t="shared" si="2"/>
        <v>0</v>
      </c>
      <c r="H51" s="111">
        <f t="shared" si="3"/>
        <v>0</v>
      </c>
      <c r="K51" s="111">
        <f t="shared" si="4"/>
        <v>0</v>
      </c>
      <c r="L51" s="111">
        <f t="shared" si="5"/>
        <v>0</v>
      </c>
      <c r="M51" s="111"/>
      <c r="N51" s="111">
        <f t="shared" si="8"/>
        <v>0.87500000000000011</v>
      </c>
      <c r="O51" s="111">
        <f t="shared" si="6"/>
        <v>0.61085302536479791</v>
      </c>
      <c r="P51" s="111">
        <f t="shared" si="7"/>
        <v>12.827913532660755</v>
      </c>
    </row>
    <row r="52" spans="2:16" x14ac:dyDescent="0.25">
      <c r="B52" s="107">
        <f>'Q3 Base'!B48</f>
        <v>21.5</v>
      </c>
      <c r="C52" s="107">
        <f>'Q3 Base'!C48</f>
        <v>1.738E-2</v>
      </c>
      <c r="D52" s="107">
        <f t="shared" si="0"/>
        <v>0.69041670172854885</v>
      </c>
      <c r="E52" s="107"/>
      <c r="G52" s="111">
        <f t="shared" si="2"/>
        <v>0</v>
      </c>
      <c r="H52" s="111">
        <f t="shared" si="3"/>
        <v>0</v>
      </c>
      <c r="K52" s="111">
        <f t="shared" si="4"/>
        <v>0</v>
      </c>
      <c r="L52" s="111">
        <f t="shared" si="5"/>
        <v>0</v>
      </c>
      <c r="M52" s="111"/>
      <c r="N52" s="111">
        <f t="shared" si="8"/>
        <v>0.87500000000000011</v>
      </c>
      <c r="O52" s="111">
        <f t="shared" si="6"/>
        <v>0.60411461401248034</v>
      </c>
      <c r="P52" s="111">
        <f t="shared" si="7"/>
        <v>12.988464201268327</v>
      </c>
    </row>
    <row r="53" spans="2:16" x14ac:dyDescent="0.25">
      <c r="B53" s="107">
        <f>'Q3 Base'!B49</f>
        <v>22</v>
      </c>
      <c r="C53" s="107">
        <f>'Q3 Base'!C49</f>
        <v>1.7510000000000001E-2</v>
      </c>
      <c r="D53" s="107">
        <f t="shared" si="0"/>
        <v>0.68257268562102558</v>
      </c>
      <c r="E53" s="107"/>
      <c r="G53" s="111">
        <f t="shared" si="2"/>
        <v>0</v>
      </c>
      <c r="H53" s="111">
        <f t="shared" si="3"/>
        <v>0</v>
      </c>
      <c r="K53" s="111">
        <f t="shared" si="4"/>
        <v>0</v>
      </c>
      <c r="L53" s="111">
        <f t="shared" si="5"/>
        <v>0</v>
      </c>
      <c r="M53" s="111"/>
      <c r="N53" s="111">
        <f t="shared" si="8"/>
        <v>0.87500000000000011</v>
      </c>
      <c r="O53" s="111">
        <f t="shared" si="6"/>
        <v>0.59725109991839742</v>
      </c>
      <c r="P53" s="111">
        <f t="shared" si="7"/>
        <v>13.139524198204743</v>
      </c>
    </row>
    <row r="54" spans="2:16" x14ac:dyDescent="0.25">
      <c r="B54" s="107">
        <f>'Q3 Base'!B50</f>
        <v>22.5</v>
      </c>
      <c r="C54" s="107">
        <f>'Q3 Base'!C50</f>
        <v>1.7639999999999999E-2</v>
      </c>
      <c r="D54" s="107">
        <f t="shared" si="0"/>
        <v>0.67473181871507115</v>
      </c>
      <c r="E54" s="107"/>
      <c r="G54" s="111">
        <f t="shared" si="2"/>
        <v>0</v>
      </c>
      <c r="H54" s="111">
        <f t="shared" si="3"/>
        <v>0</v>
      </c>
      <c r="K54" s="111">
        <f t="shared" si="4"/>
        <v>0</v>
      </c>
      <c r="L54" s="111">
        <f t="shared" si="5"/>
        <v>0</v>
      </c>
      <c r="M54" s="111"/>
      <c r="N54" s="111">
        <f t="shared" si="8"/>
        <v>0.87500000000000011</v>
      </c>
      <c r="O54" s="111">
        <f t="shared" si="6"/>
        <v>0.59039034137568736</v>
      </c>
      <c r="P54" s="111">
        <f t="shared" si="7"/>
        <v>13.283782680952966</v>
      </c>
    </row>
    <row r="55" spans="2:16" x14ac:dyDescent="0.25">
      <c r="B55" s="107">
        <f>'Q3 Base'!B51</f>
        <v>23</v>
      </c>
      <c r="C55" s="107">
        <f>'Q3 Base'!C51</f>
        <v>1.7850000000000001E-2</v>
      </c>
      <c r="D55" s="107">
        <f t="shared" si="0"/>
        <v>0.66569153978187534</v>
      </c>
      <c r="E55" s="107"/>
      <c r="G55" s="111">
        <f t="shared" si="2"/>
        <v>0</v>
      </c>
      <c r="H55" s="111">
        <f t="shared" si="3"/>
        <v>0</v>
      </c>
      <c r="K55" s="111">
        <f t="shared" si="4"/>
        <v>0</v>
      </c>
      <c r="L55" s="111">
        <f t="shared" si="5"/>
        <v>0</v>
      </c>
      <c r="M55" s="111"/>
      <c r="N55" s="111">
        <f t="shared" si="8"/>
        <v>0.87500000000000011</v>
      </c>
      <c r="O55" s="111">
        <f t="shared" si="6"/>
        <v>0.58248009730914097</v>
      </c>
      <c r="P55" s="111">
        <f t="shared" si="7"/>
        <v>13.397042238110242</v>
      </c>
    </row>
    <row r="56" spans="2:16" x14ac:dyDescent="0.25">
      <c r="B56" s="107">
        <f>'Q3 Base'!B52</f>
        <v>23.5</v>
      </c>
      <c r="C56" s="107">
        <f>'Q3 Base'!C52</f>
        <v>1.7930000000000001E-2</v>
      </c>
      <c r="D56" s="107">
        <f t="shared" si="0"/>
        <v>0.65861106598209518</v>
      </c>
      <c r="E56" s="107"/>
      <c r="G56" s="111">
        <f t="shared" si="2"/>
        <v>0</v>
      </c>
      <c r="H56" s="111">
        <f t="shared" si="3"/>
        <v>0</v>
      </c>
      <c r="K56" s="111">
        <f t="shared" si="4"/>
        <v>0</v>
      </c>
      <c r="L56" s="111">
        <f t="shared" si="5"/>
        <v>0</v>
      </c>
      <c r="M56" s="111"/>
      <c r="N56" s="111">
        <f t="shared" si="8"/>
        <v>0.87500000000000011</v>
      </c>
      <c r="O56" s="111">
        <f t="shared" si="6"/>
        <v>0.57628468273433331</v>
      </c>
      <c r="P56" s="111">
        <f t="shared" si="7"/>
        <v>13.542690044256833</v>
      </c>
    </row>
    <row r="57" spans="2:16" x14ac:dyDescent="0.25">
      <c r="B57" s="107">
        <f>'Q3 Base'!B53</f>
        <v>24</v>
      </c>
      <c r="C57" s="107">
        <f>'Q3 Base'!C53</f>
        <v>1.7919999999999998E-2</v>
      </c>
      <c r="D57" s="107">
        <f t="shared" si="0"/>
        <v>0.6529387774715083</v>
      </c>
      <c r="E57" s="107"/>
      <c r="G57" s="111">
        <f t="shared" si="2"/>
        <v>0</v>
      </c>
      <c r="H57" s="111">
        <f t="shared" si="3"/>
        <v>0</v>
      </c>
      <c r="K57" s="111">
        <f t="shared" si="4"/>
        <v>0</v>
      </c>
      <c r="L57" s="111">
        <f t="shared" si="5"/>
        <v>0</v>
      </c>
      <c r="M57" s="111"/>
      <c r="N57" s="111">
        <f t="shared" si="8"/>
        <v>0.87500000000000011</v>
      </c>
      <c r="O57" s="111">
        <f t="shared" si="6"/>
        <v>0.57132143028756988</v>
      </c>
      <c r="P57" s="111">
        <f t="shared" si="7"/>
        <v>13.711714326901678</v>
      </c>
    </row>
    <row r="58" spans="2:16" x14ac:dyDescent="0.25">
      <c r="B58" s="107">
        <f>'Q3 Base'!B54</f>
        <v>24.5</v>
      </c>
      <c r="C58" s="107">
        <f>'Q3 Base'!C54</f>
        <v>1.7919999999999998E-2</v>
      </c>
      <c r="D58" s="107">
        <f t="shared" si="0"/>
        <v>0.64716591841415871</v>
      </c>
      <c r="E58" s="107"/>
      <c r="G58" s="111">
        <f t="shared" si="2"/>
        <v>0</v>
      </c>
      <c r="H58" s="111">
        <f t="shared" si="3"/>
        <v>0</v>
      </c>
      <c r="K58" s="111">
        <f t="shared" si="4"/>
        <v>0</v>
      </c>
      <c r="L58" s="111">
        <f t="shared" si="5"/>
        <v>0</v>
      </c>
      <c r="M58" s="111"/>
      <c r="N58" s="111">
        <f t="shared" si="8"/>
        <v>0.87500000000000011</v>
      </c>
      <c r="O58" s="111">
        <f t="shared" si="6"/>
        <v>0.56627017861238893</v>
      </c>
      <c r="P58" s="111">
        <f t="shared" si="7"/>
        <v>13.873619376003528</v>
      </c>
    </row>
    <row r="59" spans="2:16" x14ac:dyDescent="0.25">
      <c r="B59" s="107">
        <f>'Q3 Base'!B55</f>
        <v>25</v>
      </c>
      <c r="C59" s="107">
        <f>'Q3 Base'!C55</f>
        <v>1.7909999999999999E-2</v>
      </c>
      <c r="D59" s="107">
        <f t="shared" si="0"/>
        <v>0.64160165727960317</v>
      </c>
      <c r="E59" s="107"/>
      <c r="G59" s="111">
        <f t="shared" si="2"/>
        <v>0</v>
      </c>
      <c r="H59" s="111">
        <f t="shared" si="3"/>
        <v>0</v>
      </c>
      <c r="K59" s="111">
        <f t="shared" si="4"/>
        <v>0</v>
      </c>
      <c r="L59" s="111">
        <f t="shared" si="5"/>
        <v>0</v>
      </c>
      <c r="M59" s="111"/>
      <c r="N59" s="111">
        <f>N$6*N$5/2 +100</f>
        <v>100.875</v>
      </c>
      <c r="O59" s="111">
        <f t="shared" si="6"/>
        <v>64.721567178079965</v>
      </c>
      <c r="P59" s="111">
        <f t="shared" si="7"/>
        <v>1618.0391794519992</v>
      </c>
    </row>
    <row r="60" spans="2:16" x14ac:dyDescent="0.25">
      <c r="B60" s="107">
        <f>'Q3 Base'!B56</f>
        <v>25.5</v>
      </c>
      <c r="C60" s="107">
        <f>'Q3 Base'!C56</f>
        <v>1.7909999999999999E-2</v>
      </c>
      <c r="D60" s="107">
        <f t="shared" si="0"/>
        <v>0.63593215734101083</v>
      </c>
      <c r="E60" s="107"/>
    </row>
    <row r="61" spans="2:16" x14ac:dyDescent="0.25">
      <c r="B61" s="107">
        <f>'Q3 Base'!B57</f>
        <v>26</v>
      </c>
      <c r="C61" s="107">
        <f>'Q3 Base'!C57</f>
        <v>1.7909999999999999E-2</v>
      </c>
      <c r="D61" s="107">
        <f t="shared" si="0"/>
        <v>0.63031275582281654</v>
      </c>
      <c r="E61" s="107"/>
      <c r="F61" s="57" t="s">
        <v>171</v>
      </c>
      <c r="G61" s="128">
        <f>SUM(G10:G60)</f>
        <v>104.58655719745113</v>
      </c>
      <c r="H61" s="128">
        <f>SUM(H10:H60)</f>
        <v>975.64080971091653</v>
      </c>
      <c r="K61" s="128">
        <f>SUM(K10:K60)</f>
        <v>115.61943810703858</v>
      </c>
      <c r="L61" s="128">
        <f>SUM(L10:L60)</f>
        <v>1471.7302665862255</v>
      </c>
      <c r="M61" s="128"/>
      <c r="O61" s="128">
        <f>SUM(O10:O60)</f>
        <v>101.05698352841338</v>
      </c>
      <c r="P61" s="128">
        <f>SUM(P10:P60)</f>
        <v>2036.7667369227638</v>
      </c>
    </row>
    <row r="62" spans="2:16" x14ac:dyDescent="0.25">
      <c r="B62" s="107">
        <f>'Q3 Base'!B58</f>
        <v>26.5</v>
      </c>
      <c r="C62" s="107">
        <f>'Q3 Base'!C58</f>
        <v>1.7930000000000001E-2</v>
      </c>
      <c r="D62" s="107">
        <f t="shared" si="0"/>
        <v>0.62441781000596353</v>
      </c>
      <c r="E62" s="107"/>
    </row>
    <row r="63" spans="2:16" x14ac:dyDescent="0.25">
      <c r="B63" s="107">
        <f>'Q3 Base'!B59</f>
        <v>27</v>
      </c>
      <c r="C63" s="107">
        <f>'Q3 Base'!C59</f>
        <v>1.814E-2</v>
      </c>
      <c r="D63" s="107">
        <f t="shared" si="0"/>
        <v>0.61545669256167546</v>
      </c>
      <c r="E63" s="107"/>
    </row>
    <row r="64" spans="2:16" x14ac:dyDescent="0.25">
      <c r="B64" s="107">
        <f>'Q3 Base'!B60</f>
        <v>27.5</v>
      </c>
      <c r="C64" s="107">
        <f>'Q3 Base'!C60</f>
        <v>1.8350000000000002E-2</v>
      </c>
      <c r="D64" s="107">
        <f t="shared" si="0"/>
        <v>0.60649976569286546</v>
      </c>
      <c r="E64" s="107"/>
    </row>
    <row r="65" spans="2:5" x14ac:dyDescent="0.25">
      <c r="B65" s="107">
        <f>'Q3 Base'!B61</f>
        <v>28</v>
      </c>
      <c r="C65" s="107">
        <f>'Q3 Base'!C61</f>
        <v>1.8329999999999999E-2</v>
      </c>
      <c r="D65" s="107">
        <f t="shared" si="0"/>
        <v>0.60134115640191865</v>
      </c>
      <c r="E65" s="107"/>
    </row>
    <row r="66" spans="2:5" x14ac:dyDescent="0.25">
      <c r="B66" s="107">
        <f>'Q3 Base'!B62</f>
        <v>28.5</v>
      </c>
      <c r="C66" s="107">
        <f>'Q3 Base'!C62</f>
        <v>1.8280000000000001E-2</v>
      </c>
      <c r="D66" s="107">
        <f t="shared" si="0"/>
        <v>0.59673897523260921</v>
      </c>
      <c r="E66" s="107"/>
    </row>
    <row r="67" spans="2:5" x14ac:dyDescent="0.25">
      <c r="B67" s="107">
        <f>'Q3 Base'!B63</f>
        <v>29</v>
      </c>
      <c r="C67" s="107">
        <f>'Q3 Base'!C63</f>
        <v>1.8190000000000001E-2</v>
      </c>
      <c r="D67" s="107">
        <f t="shared" si="0"/>
        <v>0.59287618600537251</v>
      </c>
    </row>
    <row r="68" spans="2:5" x14ac:dyDescent="0.25">
      <c r="B68" s="107">
        <f>'Q3 Base'!B64</f>
        <v>29.5</v>
      </c>
      <c r="C68" s="107">
        <f>'Q3 Base'!C64</f>
        <v>1.8100000000000002E-2</v>
      </c>
      <c r="D68" s="107">
        <f t="shared" si="0"/>
        <v>0.58909060339363284</v>
      </c>
    </row>
    <row r="69" spans="2:5" x14ac:dyDescent="0.25">
      <c r="B69" s="107">
        <f>'Q3 Base'!B65</f>
        <v>30</v>
      </c>
      <c r="C69" s="107">
        <f>'Q3 Base'!C65</f>
        <v>1.8010000000000002E-2</v>
      </c>
      <c r="D69" s="107">
        <f t="shared" si="0"/>
        <v>0.58538107247442195</v>
      </c>
    </row>
  </sheetData>
  <mergeCells count="4">
    <mergeCell ref="F4:H4"/>
    <mergeCell ref="J4:L4"/>
    <mergeCell ref="N4:P4"/>
    <mergeCell ref="F8:P8"/>
  </mergeCells>
  <phoneticPr fontId="2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
  <sheetViews>
    <sheetView workbookViewId="0"/>
  </sheetViews>
  <sheetFormatPr defaultRowHeight="15" x14ac:dyDescent="0.25"/>
  <cols>
    <col min="1" max="1" width="4" customWidth="1"/>
    <col min="10" max="10" width="3" bestFit="1" customWidth="1"/>
  </cols>
  <sheetData>
    <row r="1" spans="1:10" ht="15.75" thickBot="1" x14ac:dyDescent="0.3"/>
    <row r="2" spans="1:10" s="100" customFormat="1" ht="26.25" thickBot="1" x14ac:dyDescent="0.4">
      <c r="A2" s="99" t="s">
        <v>154</v>
      </c>
    </row>
    <row r="5" spans="1:10" x14ac:dyDescent="0.25">
      <c r="B5" t="s">
        <v>104</v>
      </c>
    </row>
    <row r="6" spans="1:10" x14ac:dyDescent="0.25">
      <c r="B6" t="s">
        <v>105</v>
      </c>
    </row>
    <row r="7" spans="1:10" x14ac:dyDescent="0.25">
      <c r="B7" t="s">
        <v>106</v>
      </c>
    </row>
    <row r="8" spans="1:10" x14ac:dyDescent="0.25">
      <c r="B8" t="s">
        <v>107</v>
      </c>
    </row>
    <row r="9" spans="1:10" x14ac:dyDescent="0.25">
      <c r="B9" t="s">
        <v>108</v>
      </c>
    </row>
    <row r="10" spans="1:10" x14ac:dyDescent="0.25">
      <c r="B10" t="s">
        <v>109</v>
      </c>
      <c r="J10" s="66"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9"/>
  <sheetViews>
    <sheetView workbookViewId="0"/>
  </sheetViews>
  <sheetFormatPr defaultRowHeight="15" x14ac:dyDescent="0.25"/>
  <cols>
    <col min="1" max="1" width="4.7109375" customWidth="1"/>
    <col min="3" max="3" width="11.85546875" customWidth="1"/>
    <col min="5" max="5" width="10.28515625" bestFit="1" customWidth="1"/>
    <col min="6" max="6" width="9" customWidth="1"/>
    <col min="7" max="7" width="8.85546875" customWidth="1"/>
    <col min="8" max="8" width="12" bestFit="1" customWidth="1"/>
    <col min="9" max="9" width="10.28515625" bestFit="1" customWidth="1"/>
    <col min="10" max="10" width="8.85546875" customWidth="1"/>
    <col min="11" max="11" width="10.28515625" bestFit="1" customWidth="1"/>
    <col min="12" max="12" width="8.85546875" customWidth="1"/>
    <col min="14" max="14" width="18.42578125" customWidth="1"/>
    <col min="17" max="17" width="3.7109375" customWidth="1"/>
    <col min="18" max="18" width="29.7109375" customWidth="1"/>
  </cols>
  <sheetData>
    <row r="1" spans="1:18" ht="15.75" thickBot="1" x14ac:dyDescent="0.3"/>
    <row r="2" spans="1:18" s="100" customFormat="1" ht="26.25" thickBot="1" x14ac:dyDescent="0.4">
      <c r="A2" s="99" t="s">
        <v>155</v>
      </c>
    </row>
    <row r="4" spans="1:18" s="19" customFormat="1" x14ac:dyDescent="0.25">
      <c r="B4" s="131"/>
      <c r="C4" s="131"/>
      <c r="D4" s="131"/>
      <c r="E4" s="155" t="s">
        <v>168</v>
      </c>
      <c r="F4" s="156"/>
      <c r="G4" s="132"/>
      <c r="H4" s="133"/>
      <c r="I4" s="155" t="s">
        <v>110</v>
      </c>
      <c r="J4" s="156"/>
      <c r="K4" s="155" t="s">
        <v>111</v>
      </c>
      <c r="L4" s="156"/>
    </row>
    <row r="5" spans="1:18" x14ac:dyDescent="0.25">
      <c r="B5" s="107"/>
      <c r="C5" s="107"/>
      <c r="D5" s="107"/>
      <c r="E5" s="109">
        <f>'Q3 Base'!F8</f>
        <v>1.7500000000000002E-2</v>
      </c>
      <c r="F5" s="109"/>
      <c r="G5" s="109"/>
      <c r="H5" s="111"/>
      <c r="I5" s="6"/>
      <c r="J5" s="6"/>
      <c r="K5" s="6">
        <v>1.2500000000000001E-2</v>
      </c>
      <c r="L5" s="6"/>
    </row>
    <row r="6" spans="1:18" x14ac:dyDescent="0.25">
      <c r="B6" s="107"/>
      <c r="C6" s="107"/>
      <c r="D6" s="107"/>
      <c r="E6" s="111">
        <v>100</v>
      </c>
      <c r="F6" s="111"/>
      <c r="G6" s="111"/>
      <c r="H6" s="111"/>
      <c r="I6" s="111"/>
      <c r="J6" s="111"/>
      <c r="K6" s="111">
        <v>100</v>
      </c>
      <c r="L6" s="111"/>
    </row>
    <row r="7" spans="1:18" x14ac:dyDescent="0.25">
      <c r="B7" s="107"/>
      <c r="C7" s="107"/>
      <c r="D7" s="107"/>
      <c r="E7" s="111"/>
      <c r="F7" s="111"/>
      <c r="G7" s="111"/>
      <c r="H7" s="111"/>
      <c r="I7" s="111"/>
      <c r="J7" s="111"/>
      <c r="K7" s="111"/>
      <c r="L7" s="111"/>
    </row>
    <row r="8" spans="1:18" x14ac:dyDescent="0.25">
      <c r="B8" s="107"/>
      <c r="C8" s="107"/>
      <c r="D8" s="107"/>
      <c r="G8" s="154" t="s">
        <v>3</v>
      </c>
      <c r="H8" s="154"/>
      <c r="I8" s="7" t="s">
        <v>3</v>
      </c>
      <c r="J8" s="7"/>
      <c r="K8" s="7" t="s">
        <v>3</v>
      </c>
      <c r="L8" s="7"/>
      <c r="P8" s="68"/>
    </row>
    <row r="9" spans="1:18" s="19" customFormat="1" x14ac:dyDescent="0.25">
      <c r="B9" s="122" t="s">
        <v>27</v>
      </c>
      <c r="C9" s="122" t="s">
        <v>94</v>
      </c>
      <c r="D9" s="122" t="s">
        <v>98</v>
      </c>
      <c r="E9" s="122" t="s">
        <v>198</v>
      </c>
      <c r="F9" s="122" t="s">
        <v>199</v>
      </c>
      <c r="G9" s="122" t="s">
        <v>112</v>
      </c>
      <c r="H9" s="122" t="s">
        <v>113</v>
      </c>
      <c r="I9" s="122" t="s">
        <v>198</v>
      </c>
      <c r="J9" s="122" t="s">
        <v>199</v>
      </c>
      <c r="K9" s="122" t="s">
        <v>198</v>
      </c>
      <c r="L9" s="125" t="s">
        <v>199</v>
      </c>
      <c r="N9" s="13" t="s">
        <v>114</v>
      </c>
      <c r="O9" s="134">
        <f>SUM(F10:F39)</f>
        <v>99.745672708136311</v>
      </c>
    </row>
    <row r="10" spans="1:18" x14ac:dyDescent="0.25">
      <c r="B10" s="107">
        <f>'Q3 Base'!B6</f>
        <v>0.5</v>
      </c>
      <c r="C10" s="107">
        <f>'Q3 Base'!J6</f>
        <v>1.4760000000000001E-2</v>
      </c>
      <c r="D10" s="107">
        <f t="shared" ref="D10:D39" si="0">(1+C10)^-B10</f>
        <v>0.99270070453959558</v>
      </c>
      <c r="E10" s="111">
        <f>E$6*E$5/2</f>
        <v>0.87500000000000011</v>
      </c>
      <c r="F10" s="111">
        <f>D10*E10</f>
        <v>0.86861311647214623</v>
      </c>
      <c r="G10" s="112">
        <v>5.0000000000000001E-3</v>
      </c>
      <c r="H10" s="107">
        <f>(1+C10+G10)^-B10</f>
        <v>0.99026405148363483</v>
      </c>
      <c r="I10" s="111">
        <v>0</v>
      </c>
      <c r="J10" s="111">
        <f>I10*$H10</f>
        <v>0</v>
      </c>
      <c r="K10" s="111">
        <f>K$6*K$5/2</f>
        <v>0.625</v>
      </c>
      <c r="L10" s="111">
        <f>K10*$H10</f>
        <v>0.61891503217727173</v>
      </c>
      <c r="M10" s="47" t="s">
        <v>132</v>
      </c>
      <c r="N10" t="s">
        <v>115</v>
      </c>
      <c r="O10" s="68">
        <f>SUM(J10:J39)</f>
        <v>83.717269682684673</v>
      </c>
      <c r="P10" s="119" t="s">
        <v>2</v>
      </c>
    </row>
    <row r="11" spans="1:18" x14ac:dyDescent="0.25">
      <c r="B11" s="107">
        <f>'Q3 Base'!B7</f>
        <v>1</v>
      </c>
      <c r="C11" s="107">
        <f>'Q3 Base'!J7</f>
        <v>1.5140000000000001E-2</v>
      </c>
      <c r="D11" s="107">
        <f t="shared" si="0"/>
        <v>0.98508580097326481</v>
      </c>
      <c r="E11" s="111">
        <f t="shared" ref="E11:E28" si="1">E$6*E$5/2</f>
        <v>0.87500000000000011</v>
      </c>
      <c r="F11" s="111">
        <f t="shared" ref="F11:F39" si="2">D11*E11</f>
        <v>0.86195007585160677</v>
      </c>
      <c r="G11" s="112">
        <f>G10</f>
        <v>5.0000000000000001E-3</v>
      </c>
      <c r="H11" s="107">
        <f t="shared" ref="H11:H39" si="3">(1+C11+G11)^-B11</f>
        <v>0.98025761170035497</v>
      </c>
      <c r="I11" s="111">
        <v>0</v>
      </c>
      <c r="J11" s="111">
        <f t="shared" ref="J11:J39" si="4">I11*$H11</f>
        <v>0</v>
      </c>
      <c r="K11" s="111">
        <f t="shared" ref="K11:K38" si="5">K$6*K$5/2</f>
        <v>0.625</v>
      </c>
      <c r="L11" s="111">
        <f t="shared" ref="L11:L39" si="6">K11*$H11</f>
        <v>0.61266100731272188</v>
      </c>
      <c r="N11" t="s">
        <v>116</v>
      </c>
      <c r="O11" s="68">
        <f>SUM(L10:L39)</f>
        <v>86.916435305607678</v>
      </c>
      <c r="P11" s="119" t="s">
        <v>2</v>
      </c>
    </row>
    <row r="12" spans="1:18" x14ac:dyDescent="0.25">
      <c r="B12" s="107">
        <f>'Q3 Base'!B8</f>
        <v>1.5</v>
      </c>
      <c r="C12" s="107">
        <f>'Q3 Base'!J8</f>
        <v>1.54E-2</v>
      </c>
      <c r="D12" s="107">
        <f t="shared" si="0"/>
        <v>0.97733682178133019</v>
      </c>
      <c r="E12" s="111">
        <f t="shared" si="1"/>
        <v>0.87500000000000011</v>
      </c>
      <c r="F12" s="111">
        <f t="shared" si="2"/>
        <v>0.85516971905866401</v>
      </c>
      <c r="G12" s="112">
        <f t="shared" ref="G12:G39" si="7">G11</f>
        <v>5.0000000000000001E-3</v>
      </c>
      <c r="H12" s="107">
        <f t="shared" si="3"/>
        <v>0.97016214571040793</v>
      </c>
      <c r="I12" s="111">
        <v>0</v>
      </c>
      <c r="J12" s="111">
        <f t="shared" si="4"/>
        <v>0</v>
      </c>
      <c r="K12" s="111">
        <f t="shared" si="5"/>
        <v>0.625</v>
      </c>
      <c r="L12" s="111">
        <f t="shared" si="6"/>
        <v>0.6063513410690049</v>
      </c>
    </row>
    <row r="13" spans="1:18" x14ac:dyDescent="0.25">
      <c r="B13" s="107">
        <f>'Q3 Base'!B9</f>
        <v>2</v>
      </c>
      <c r="C13" s="107">
        <f>'Q3 Base'!J9</f>
        <v>1.566E-2</v>
      </c>
      <c r="D13" s="107">
        <f t="shared" si="0"/>
        <v>0.96940064039513663</v>
      </c>
      <c r="E13" s="111">
        <f t="shared" si="1"/>
        <v>0.87500000000000011</v>
      </c>
      <c r="F13" s="111">
        <f t="shared" si="2"/>
        <v>0.8482255603457447</v>
      </c>
      <c r="G13" s="112">
        <f t="shared" si="7"/>
        <v>5.0000000000000001E-3</v>
      </c>
      <c r="H13" s="107">
        <f t="shared" si="3"/>
        <v>0.95992612199685212</v>
      </c>
      <c r="I13" s="111">
        <v>0</v>
      </c>
      <c r="J13" s="111">
        <f t="shared" si="4"/>
        <v>0</v>
      </c>
      <c r="K13" s="111">
        <f t="shared" si="5"/>
        <v>0.625</v>
      </c>
      <c r="L13" s="111">
        <f t="shared" si="6"/>
        <v>0.59995382624803262</v>
      </c>
    </row>
    <row r="14" spans="1:18" x14ac:dyDescent="0.25">
      <c r="B14" s="107">
        <f>'Q3 Base'!B10</f>
        <v>2.5</v>
      </c>
      <c r="C14" s="107">
        <f>'Q3 Base'!J10</f>
        <v>1.592E-2</v>
      </c>
      <c r="D14" s="107">
        <f t="shared" si="0"/>
        <v>0.96128291704691649</v>
      </c>
      <c r="E14" s="111">
        <f t="shared" si="1"/>
        <v>0.87500000000000011</v>
      </c>
      <c r="F14" s="111">
        <f t="shared" si="2"/>
        <v>0.84112255241605205</v>
      </c>
      <c r="G14" s="112">
        <f t="shared" si="7"/>
        <v>5.0000000000000001E-3</v>
      </c>
      <c r="H14" s="107">
        <f t="shared" si="3"/>
        <v>0.94955630211414332</v>
      </c>
      <c r="I14" s="111">
        <v>0</v>
      </c>
      <c r="J14" s="111">
        <f t="shared" si="4"/>
        <v>0</v>
      </c>
      <c r="K14" s="111">
        <f t="shared" si="5"/>
        <v>0.625</v>
      </c>
      <c r="L14" s="111">
        <f t="shared" si="6"/>
        <v>0.59347268882133952</v>
      </c>
    </row>
    <row r="15" spans="1:18" x14ac:dyDescent="0.25">
      <c r="B15" s="107">
        <f>'Q3 Base'!B11</f>
        <v>3</v>
      </c>
      <c r="C15" s="107">
        <f>'Q3 Base'!J11</f>
        <v>1.618E-2</v>
      </c>
      <c r="D15" s="107">
        <f t="shared" si="0"/>
        <v>0.95298940162381218</v>
      </c>
      <c r="E15" s="111">
        <f t="shared" si="1"/>
        <v>0.87500000000000011</v>
      </c>
      <c r="F15" s="111">
        <f t="shared" si="2"/>
        <v>0.83386572642083578</v>
      </c>
      <c r="G15" s="112">
        <f t="shared" si="7"/>
        <v>5.0000000000000001E-3</v>
      </c>
      <c r="H15" s="107">
        <f t="shared" si="3"/>
        <v>0.93905947401201095</v>
      </c>
      <c r="I15" s="111">
        <v>0</v>
      </c>
      <c r="J15" s="111">
        <f t="shared" si="4"/>
        <v>0</v>
      </c>
      <c r="K15" s="111">
        <f t="shared" si="5"/>
        <v>0.625</v>
      </c>
      <c r="L15" s="111">
        <f t="shared" si="6"/>
        <v>0.58691217125750683</v>
      </c>
    </row>
    <row r="16" spans="1:18" x14ac:dyDescent="0.25">
      <c r="B16" s="107">
        <f>'Q3 Base'!B12</f>
        <v>3.5</v>
      </c>
      <c r="C16" s="107">
        <f>'Q3 Base'!J12</f>
        <v>1.6420000000000001E-2</v>
      </c>
      <c r="D16" s="107">
        <f t="shared" si="0"/>
        <v>0.94459097727181762</v>
      </c>
      <c r="E16" s="111">
        <f t="shared" si="1"/>
        <v>0.87500000000000011</v>
      </c>
      <c r="F16" s="111">
        <f t="shared" si="2"/>
        <v>0.82651710511284049</v>
      </c>
      <c r="G16" s="112">
        <f t="shared" si="7"/>
        <v>5.0000000000000001E-3</v>
      </c>
      <c r="H16" s="107">
        <f t="shared" si="3"/>
        <v>0.92850607441995259</v>
      </c>
      <c r="I16" s="111">
        <v>0</v>
      </c>
      <c r="J16" s="111">
        <f t="shared" si="4"/>
        <v>0</v>
      </c>
      <c r="K16" s="111">
        <f t="shared" si="5"/>
        <v>0.625</v>
      </c>
      <c r="L16" s="111">
        <f t="shared" si="6"/>
        <v>0.58031629651247041</v>
      </c>
      <c r="Q16" s="66"/>
      <c r="R16" s="67"/>
    </row>
    <row r="17" spans="2:19" x14ac:dyDescent="0.25">
      <c r="B17" s="107">
        <f>'Q3 Base'!B13</f>
        <v>4</v>
      </c>
      <c r="C17" s="107">
        <f>'Q3 Base'!J13</f>
        <v>1.6639999999999999E-2</v>
      </c>
      <c r="D17" s="107">
        <f t="shared" si="0"/>
        <v>0.93611936081547698</v>
      </c>
      <c r="E17" s="111">
        <f t="shared" si="1"/>
        <v>0.87500000000000011</v>
      </c>
      <c r="F17" s="111">
        <f t="shared" si="2"/>
        <v>0.81910444071354249</v>
      </c>
      <c r="G17" s="112">
        <f t="shared" si="7"/>
        <v>5.0000000000000001E-3</v>
      </c>
      <c r="H17" s="107">
        <f t="shared" si="3"/>
        <v>0.91792763820802092</v>
      </c>
      <c r="I17" s="111">
        <v>0</v>
      </c>
      <c r="J17" s="111">
        <f t="shared" si="4"/>
        <v>0</v>
      </c>
      <c r="K17" s="111">
        <f t="shared" si="5"/>
        <v>0.625</v>
      </c>
      <c r="L17" s="111">
        <f t="shared" si="6"/>
        <v>0.57370477388001306</v>
      </c>
      <c r="M17" s="47" t="s">
        <v>133</v>
      </c>
      <c r="N17" t="s">
        <v>169</v>
      </c>
      <c r="Q17" s="66"/>
      <c r="R17" s="67"/>
      <c r="S17" s="15" t="s">
        <v>3</v>
      </c>
    </row>
    <row r="18" spans="2:19" x14ac:dyDescent="0.25">
      <c r="B18" s="107">
        <f>'Q3 Base'!B14</f>
        <v>4.5</v>
      </c>
      <c r="C18" s="107">
        <f>'Q3 Base'!J14</f>
        <v>1.687E-2</v>
      </c>
      <c r="D18" s="107">
        <f t="shared" si="0"/>
        <v>0.92748211399172409</v>
      </c>
      <c r="E18" s="111">
        <f t="shared" si="1"/>
        <v>0.87500000000000011</v>
      </c>
      <c r="F18" s="111">
        <f t="shared" si="2"/>
        <v>0.8115468497427587</v>
      </c>
      <c r="G18" s="112">
        <f t="shared" si="7"/>
        <v>5.0000000000000001E-3</v>
      </c>
      <c r="H18" s="107">
        <f t="shared" si="3"/>
        <v>0.90723454360898104</v>
      </c>
      <c r="I18" s="111">
        <v>0</v>
      </c>
      <c r="J18" s="111">
        <f t="shared" si="4"/>
        <v>0</v>
      </c>
      <c r="K18" s="111">
        <f t="shared" si="5"/>
        <v>0.625</v>
      </c>
      <c r="L18" s="111">
        <f t="shared" si="6"/>
        <v>0.56702158975561312</v>
      </c>
      <c r="Q18" s="66"/>
      <c r="R18" s="67"/>
    </row>
    <row r="19" spans="2:19" x14ac:dyDescent="0.25">
      <c r="B19" s="107">
        <f>'Q3 Base'!B15</f>
        <v>5</v>
      </c>
      <c r="C19" s="107">
        <f>'Q3 Base'!J15</f>
        <v>1.703E-2</v>
      </c>
      <c r="D19" s="107">
        <f t="shared" si="0"/>
        <v>0.91903315889413673</v>
      </c>
      <c r="E19" s="111">
        <f t="shared" si="1"/>
        <v>0.87500000000000011</v>
      </c>
      <c r="F19" s="111">
        <f t="shared" si="2"/>
        <v>0.80415401403236975</v>
      </c>
      <c r="G19" s="112">
        <f t="shared" si="7"/>
        <v>5.0000000000000001E-3</v>
      </c>
      <c r="H19" s="107">
        <f t="shared" si="3"/>
        <v>0.89677146377005035</v>
      </c>
      <c r="I19" s="111">
        <v>0</v>
      </c>
      <c r="J19" s="111">
        <f t="shared" si="4"/>
        <v>0</v>
      </c>
      <c r="K19" s="111">
        <f t="shared" si="5"/>
        <v>0.625</v>
      </c>
      <c r="L19" s="111">
        <f t="shared" si="6"/>
        <v>0.56048216485628144</v>
      </c>
      <c r="Q19" s="66"/>
      <c r="R19" s="67"/>
    </row>
    <row r="20" spans="2:19" x14ac:dyDescent="0.25">
      <c r="B20" s="107">
        <f>'Q3 Base'!B16</f>
        <v>5.5</v>
      </c>
      <c r="C20" s="107">
        <f>'Q3 Base'!J16</f>
        <v>1.7139999999999999E-2</v>
      </c>
      <c r="D20" s="107">
        <f t="shared" si="0"/>
        <v>0.91076422832689952</v>
      </c>
      <c r="E20" s="111">
        <f t="shared" si="1"/>
        <v>0.87500000000000011</v>
      </c>
      <c r="F20" s="111">
        <f t="shared" si="2"/>
        <v>0.79691869978603713</v>
      </c>
      <c r="G20" s="112">
        <f t="shared" si="7"/>
        <v>5.0000000000000001E-3</v>
      </c>
      <c r="H20" s="107">
        <f t="shared" si="3"/>
        <v>0.8865288787501745</v>
      </c>
      <c r="I20" s="111">
        <v>0</v>
      </c>
      <c r="J20" s="111">
        <f t="shared" si="4"/>
        <v>0</v>
      </c>
      <c r="K20" s="111">
        <f t="shared" si="5"/>
        <v>0.625</v>
      </c>
      <c r="L20" s="111">
        <f t="shared" si="6"/>
        <v>0.55408054921885908</v>
      </c>
      <c r="Q20" s="66"/>
      <c r="R20" s="67"/>
    </row>
    <row r="21" spans="2:19" x14ac:dyDescent="0.25">
      <c r="B21" s="107">
        <f>'Q3 Base'!B17</f>
        <v>6</v>
      </c>
      <c r="C21" s="107">
        <f>'Q3 Base'!J17</f>
        <v>1.7260000000000001E-2</v>
      </c>
      <c r="D21" s="107">
        <f t="shared" si="0"/>
        <v>0.90241892224433062</v>
      </c>
      <c r="E21" s="111">
        <f t="shared" si="1"/>
        <v>0.87500000000000011</v>
      </c>
      <c r="F21" s="111">
        <f t="shared" si="2"/>
        <v>0.78961655696378941</v>
      </c>
      <c r="G21" s="112">
        <f t="shared" si="7"/>
        <v>5.0000000000000001E-3</v>
      </c>
      <c r="H21" s="107">
        <f t="shared" si="3"/>
        <v>0.87625759299107298</v>
      </c>
      <c r="I21" s="111">
        <v>0</v>
      </c>
      <c r="J21" s="111">
        <f t="shared" si="4"/>
        <v>0</v>
      </c>
      <c r="K21" s="111">
        <f t="shared" si="5"/>
        <v>0.625</v>
      </c>
      <c r="L21" s="111">
        <f t="shared" si="6"/>
        <v>0.54766099561942061</v>
      </c>
      <c r="Q21" s="66"/>
      <c r="R21" s="67"/>
    </row>
    <row r="22" spans="2:19" x14ac:dyDescent="0.25">
      <c r="B22" s="107">
        <f>'Q3 Base'!B18</f>
        <v>6.5</v>
      </c>
      <c r="C22" s="107">
        <f>'Q3 Base'!J18</f>
        <v>1.738E-2</v>
      </c>
      <c r="D22" s="107">
        <f t="shared" si="0"/>
        <v>0.89404468735619824</v>
      </c>
      <c r="E22" s="111">
        <f t="shared" si="1"/>
        <v>0.87500000000000011</v>
      </c>
      <c r="F22" s="111">
        <f t="shared" si="2"/>
        <v>0.78228910143667352</v>
      </c>
      <c r="G22" s="112">
        <f t="shared" si="7"/>
        <v>5.0000000000000001E-3</v>
      </c>
      <c r="H22" s="107">
        <f t="shared" si="3"/>
        <v>0.86600371800205722</v>
      </c>
      <c r="I22" s="111">
        <v>0</v>
      </c>
      <c r="J22" s="111">
        <f t="shared" si="4"/>
        <v>0</v>
      </c>
      <c r="K22" s="111">
        <f t="shared" si="5"/>
        <v>0.625</v>
      </c>
      <c r="L22" s="111">
        <f t="shared" si="6"/>
        <v>0.54125232375128574</v>
      </c>
      <c r="Q22" s="66"/>
      <c r="R22" s="67"/>
    </row>
    <row r="23" spans="2:19" x14ac:dyDescent="0.25">
      <c r="B23" s="107">
        <f>'Q3 Base'!B19</f>
        <v>7</v>
      </c>
      <c r="C23" s="107">
        <f>'Q3 Base'!J19</f>
        <v>1.7510000000000001E-2</v>
      </c>
      <c r="D23" s="107">
        <f t="shared" si="0"/>
        <v>0.88558284920668107</v>
      </c>
      <c r="E23" s="111">
        <f t="shared" si="1"/>
        <v>0.87500000000000011</v>
      </c>
      <c r="F23" s="111">
        <f t="shared" si="2"/>
        <v>0.77488499305584602</v>
      </c>
      <c r="G23" s="112">
        <f t="shared" si="7"/>
        <v>5.0000000000000001E-3</v>
      </c>
      <c r="H23" s="107">
        <f t="shared" si="3"/>
        <v>0.85571087575208982</v>
      </c>
      <c r="I23" s="111">
        <v>0</v>
      </c>
      <c r="J23" s="111">
        <f t="shared" si="4"/>
        <v>0</v>
      </c>
      <c r="K23" s="111">
        <f t="shared" si="5"/>
        <v>0.625</v>
      </c>
      <c r="L23" s="111">
        <f t="shared" si="6"/>
        <v>0.53481929734505618</v>
      </c>
      <c r="Q23" s="66"/>
      <c r="R23" s="67"/>
    </row>
    <row r="24" spans="2:19" x14ac:dyDescent="0.25">
      <c r="B24" s="107">
        <f>'Q3 Base'!B20</f>
        <v>7.5</v>
      </c>
      <c r="C24" s="107">
        <f>'Q3 Base'!J20</f>
        <v>1.7639999999999999E-2</v>
      </c>
      <c r="D24" s="107">
        <f t="shared" si="0"/>
        <v>0.87708913321076187</v>
      </c>
      <c r="E24" s="111">
        <f t="shared" si="1"/>
        <v>0.87500000000000011</v>
      </c>
      <c r="F24" s="111">
        <f t="shared" si="2"/>
        <v>0.76745299155941671</v>
      </c>
      <c r="G24" s="112">
        <f t="shared" si="7"/>
        <v>5.0000000000000001E-3</v>
      </c>
      <c r="H24" s="107">
        <f t="shared" si="3"/>
        <v>0.84543297062342571</v>
      </c>
      <c r="I24" s="111">
        <v>0</v>
      </c>
      <c r="J24" s="111">
        <f t="shared" si="4"/>
        <v>0</v>
      </c>
      <c r="K24" s="111">
        <f t="shared" si="5"/>
        <v>0.625</v>
      </c>
      <c r="L24" s="111">
        <f t="shared" si="6"/>
        <v>0.52839560663964102</v>
      </c>
      <c r="Q24" s="66"/>
      <c r="R24" s="67"/>
    </row>
    <row r="25" spans="2:19" x14ac:dyDescent="0.25">
      <c r="B25" s="107">
        <f>'Q3 Base'!B21</f>
        <v>8</v>
      </c>
      <c r="C25" s="107">
        <f>'Q3 Base'!J21</f>
        <v>1.7850000000000001E-2</v>
      </c>
      <c r="D25" s="107">
        <f t="shared" si="0"/>
        <v>0.86802004067996485</v>
      </c>
      <c r="E25" s="111">
        <f t="shared" si="1"/>
        <v>0.87500000000000011</v>
      </c>
      <c r="F25" s="111">
        <f t="shared" si="2"/>
        <v>0.75951753559496937</v>
      </c>
      <c r="G25" s="112">
        <f t="shared" si="7"/>
        <v>5.0000000000000001E-3</v>
      </c>
      <c r="H25" s="107">
        <f t="shared" si="3"/>
        <v>0.83465001206875955</v>
      </c>
      <c r="I25" s="111">
        <v>0</v>
      </c>
      <c r="J25" s="111">
        <f t="shared" si="4"/>
        <v>0</v>
      </c>
      <c r="K25" s="111">
        <f t="shared" si="5"/>
        <v>0.625</v>
      </c>
      <c r="L25" s="111">
        <f t="shared" si="6"/>
        <v>0.52165625754297473</v>
      </c>
      <c r="Q25" s="65"/>
      <c r="R25" s="65"/>
    </row>
    <row r="26" spans="2:19" x14ac:dyDescent="0.25">
      <c r="B26" s="107">
        <f>'Q3 Base'!B22</f>
        <v>8.5</v>
      </c>
      <c r="C26" s="107">
        <f>'Q3 Base'!J22</f>
        <v>1.7930000000000001E-2</v>
      </c>
      <c r="D26" s="107">
        <f t="shared" si="0"/>
        <v>0.85980057632107809</v>
      </c>
      <c r="E26" s="111">
        <f t="shared" si="1"/>
        <v>0.87500000000000011</v>
      </c>
      <c r="F26" s="111">
        <f t="shared" si="2"/>
        <v>0.75232550428094347</v>
      </c>
      <c r="G26" s="112">
        <f t="shared" si="7"/>
        <v>5.0000000000000001E-3</v>
      </c>
      <c r="H26" s="107">
        <f t="shared" si="3"/>
        <v>0.82472605967866086</v>
      </c>
      <c r="I26" s="111">
        <v>0</v>
      </c>
      <c r="J26" s="111">
        <f t="shared" si="4"/>
        <v>0</v>
      </c>
      <c r="K26" s="111">
        <f t="shared" si="5"/>
        <v>0.625</v>
      </c>
      <c r="L26" s="111">
        <f t="shared" si="6"/>
        <v>0.51545378729916302</v>
      </c>
    </row>
    <row r="27" spans="2:19" x14ac:dyDescent="0.25">
      <c r="B27" s="107">
        <f>'Q3 Base'!B23</f>
        <v>9</v>
      </c>
      <c r="C27" s="107">
        <f>'Q3 Base'!J23</f>
        <v>1.7919999999999998E-2</v>
      </c>
      <c r="D27" s="107">
        <f t="shared" si="0"/>
        <v>0.85226994438021086</v>
      </c>
      <c r="E27" s="111">
        <f t="shared" si="1"/>
        <v>0.87500000000000011</v>
      </c>
      <c r="F27" s="111">
        <f t="shared" si="2"/>
        <v>0.74573620133268459</v>
      </c>
      <c r="G27" s="112">
        <f t="shared" si="7"/>
        <v>5.0000000000000001E-3</v>
      </c>
      <c r="H27" s="107">
        <f t="shared" si="3"/>
        <v>0.81550188709638727</v>
      </c>
      <c r="I27" s="111">
        <v>0</v>
      </c>
      <c r="J27" s="111">
        <f t="shared" si="4"/>
        <v>0</v>
      </c>
      <c r="K27" s="111">
        <f t="shared" si="5"/>
        <v>0.625</v>
      </c>
      <c r="L27" s="111">
        <f t="shared" si="6"/>
        <v>0.50968867943524199</v>
      </c>
    </row>
    <row r="28" spans="2:19" x14ac:dyDescent="0.25">
      <c r="B28" s="107">
        <f>'Q3 Base'!B24</f>
        <v>9.5</v>
      </c>
      <c r="C28" s="107">
        <f>'Q3 Base'!J24</f>
        <v>1.7919999999999998E-2</v>
      </c>
      <c r="D28" s="107">
        <f t="shared" si="0"/>
        <v>0.84473472907752201</v>
      </c>
      <c r="E28" s="111">
        <f t="shared" si="1"/>
        <v>0.87500000000000011</v>
      </c>
      <c r="F28" s="111">
        <f t="shared" si="2"/>
        <v>0.73914288794283189</v>
      </c>
      <c r="G28" s="112">
        <f t="shared" si="7"/>
        <v>5.0000000000000001E-3</v>
      </c>
      <c r="H28" s="107">
        <f t="shared" si="3"/>
        <v>0.8063138790677109</v>
      </c>
      <c r="I28" s="111">
        <v>0</v>
      </c>
      <c r="J28" s="111">
        <f t="shared" si="4"/>
        <v>0</v>
      </c>
      <c r="K28" s="111">
        <f t="shared" si="5"/>
        <v>0.625</v>
      </c>
      <c r="L28" s="111">
        <f t="shared" si="6"/>
        <v>0.50394617441731926</v>
      </c>
    </row>
    <row r="29" spans="2:19" x14ac:dyDescent="0.25">
      <c r="B29" s="107">
        <f>'Q3 Base'!B25</f>
        <v>10</v>
      </c>
      <c r="C29" s="107">
        <f>'Q3 Base'!J25</f>
        <v>1.7909999999999999E-2</v>
      </c>
      <c r="D29" s="107">
        <f t="shared" si="0"/>
        <v>0.83734839232730174</v>
      </c>
      <c r="E29" s="111">
        <f>E$6*E$5/2 +100</f>
        <v>100.875</v>
      </c>
      <c r="F29" s="111">
        <f t="shared" si="2"/>
        <v>84.467519076016558</v>
      </c>
      <c r="G29" s="112">
        <f t="shared" si="7"/>
        <v>5.0000000000000001E-3</v>
      </c>
      <c r="H29" s="107">
        <f t="shared" si="3"/>
        <v>0.79730733031128265</v>
      </c>
      <c r="I29" s="111">
        <f>100*1.05</f>
        <v>105</v>
      </c>
      <c r="J29" s="111">
        <f t="shared" si="4"/>
        <v>83.717269682684673</v>
      </c>
      <c r="K29" s="111">
        <f t="shared" si="5"/>
        <v>0.625</v>
      </c>
      <c r="L29" s="111">
        <f t="shared" si="6"/>
        <v>0.49831708144455167</v>
      </c>
    </row>
    <row r="30" spans="2:19" x14ac:dyDescent="0.25">
      <c r="B30" s="107">
        <f>'Q3 Base'!B26</f>
        <v>10.5</v>
      </c>
      <c r="C30" s="107">
        <f>'Q3 Base'!J26</f>
        <v>1.7909999999999999E-2</v>
      </c>
      <c r="D30" s="107">
        <f t="shared" si="0"/>
        <v>0.82994918036296783</v>
      </c>
      <c r="E30" s="111"/>
      <c r="F30" s="111">
        <f t="shared" si="2"/>
        <v>0</v>
      </c>
      <c r="G30" s="112">
        <f t="shared" si="7"/>
        <v>5.0000000000000001E-3</v>
      </c>
      <c r="H30" s="107">
        <f t="shared" si="3"/>
        <v>0.78832816806961858</v>
      </c>
      <c r="I30" s="111">
        <v>0</v>
      </c>
      <c r="J30" s="111">
        <f t="shared" si="4"/>
        <v>0</v>
      </c>
      <c r="K30" s="111">
        <f t="shared" si="5"/>
        <v>0.625</v>
      </c>
      <c r="L30" s="111">
        <f t="shared" si="6"/>
        <v>0.49270510504351162</v>
      </c>
    </row>
    <row r="31" spans="2:19" x14ac:dyDescent="0.25">
      <c r="B31" s="107">
        <f>'Q3 Base'!B27</f>
        <v>11</v>
      </c>
      <c r="C31" s="107">
        <f>'Q3 Base'!J27</f>
        <v>1.7909999999999999E-2</v>
      </c>
      <c r="D31" s="107">
        <f t="shared" si="0"/>
        <v>0.82261535138401409</v>
      </c>
      <c r="E31" s="111"/>
      <c r="F31" s="111">
        <f t="shared" si="2"/>
        <v>0</v>
      </c>
      <c r="G31" s="112">
        <f t="shared" si="7"/>
        <v>5.0000000000000001E-3</v>
      </c>
      <c r="H31" s="107">
        <f t="shared" si="3"/>
        <v>0.77945012788151713</v>
      </c>
      <c r="I31" s="111">
        <v>0</v>
      </c>
      <c r="J31" s="111">
        <f t="shared" si="4"/>
        <v>0</v>
      </c>
      <c r="K31" s="111">
        <f t="shared" si="5"/>
        <v>0.625</v>
      </c>
      <c r="L31" s="111">
        <f t="shared" si="6"/>
        <v>0.48715632992594821</v>
      </c>
    </row>
    <row r="32" spans="2:19" x14ac:dyDescent="0.25">
      <c r="B32" s="107">
        <f>'Q3 Base'!B28</f>
        <v>11.5</v>
      </c>
      <c r="C32" s="107">
        <f>'Q3 Base'!J28</f>
        <v>1.7930000000000001E-2</v>
      </c>
      <c r="D32" s="107">
        <f t="shared" si="0"/>
        <v>0.81516212016223266</v>
      </c>
      <c r="E32" s="111"/>
      <c r="F32" s="111">
        <f t="shared" si="2"/>
        <v>0</v>
      </c>
      <c r="G32" s="112">
        <f t="shared" si="7"/>
        <v>5.0000000000000001E-3</v>
      </c>
      <c r="H32" s="107">
        <f t="shared" si="3"/>
        <v>0.77049880747277777</v>
      </c>
      <c r="I32" s="111">
        <v>0</v>
      </c>
      <c r="J32" s="111">
        <f t="shared" si="4"/>
        <v>0</v>
      </c>
      <c r="K32" s="111">
        <f t="shared" si="5"/>
        <v>0.625</v>
      </c>
      <c r="L32" s="111">
        <f t="shared" si="6"/>
        <v>0.48156175467048612</v>
      </c>
    </row>
    <row r="33" spans="2:12" x14ac:dyDescent="0.25">
      <c r="B33" s="107">
        <f>'Q3 Base'!B29</f>
        <v>12</v>
      </c>
      <c r="C33" s="107">
        <f>'Q3 Base'!J29</f>
        <v>1.814E-2</v>
      </c>
      <c r="D33" s="107">
        <f t="shared" si="0"/>
        <v>0.80595352553231181</v>
      </c>
      <c r="E33" s="111"/>
      <c r="F33" s="111">
        <f t="shared" si="2"/>
        <v>0</v>
      </c>
      <c r="G33" s="112">
        <f t="shared" si="7"/>
        <v>5.0000000000000001E-3</v>
      </c>
      <c r="H33" s="107">
        <f t="shared" si="3"/>
        <v>0.7599398755028629</v>
      </c>
      <c r="I33" s="111">
        <v>0</v>
      </c>
      <c r="J33" s="111">
        <f t="shared" si="4"/>
        <v>0</v>
      </c>
      <c r="K33" s="111">
        <f t="shared" si="5"/>
        <v>0.625</v>
      </c>
      <c r="L33" s="111">
        <f t="shared" si="6"/>
        <v>0.4749624221892893</v>
      </c>
    </row>
    <row r="34" spans="2:12" x14ac:dyDescent="0.25">
      <c r="B34" s="107">
        <f>'Q3 Base'!B30</f>
        <v>12.5</v>
      </c>
      <c r="C34" s="107">
        <f>'Q3 Base'!J30</f>
        <v>1.8350000000000002E-2</v>
      </c>
      <c r="D34" s="107">
        <f t="shared" si="0"/>
        <v>0.79668502391394569</v>
      </c>
      <c r="E34" s="111"/>
      <c r="F34" s="111">
        <f t="shared" si="2"/>
        <v>0</v>
      </c>
      <c r="G34" s="112">
        <f t="shared" si="7"/>
        <v>5.0000000000000001E-3</v>
      </c>
      <c r="H34" s="107">
        <f t="shared" si="3"/>
        <v>0.74937219746177319</v>
      </c>
      <c r="I34" s="111">
        <v>0</v>
      </c>
      <c r="J34" s="111">
        <f t="shared" si="4"/>
        <v>0</v>
      </c>
      <c r="K34" s="111">
        <f t="shared" si="5"/>
        <v>0.625</v>
      </c>
      <c r="L34" s="111">
        <f t="shared" si="6"/>
        <v>0.46835762341360826</v>
      </c>
    </row>
    <row r="35" spans="2:12" x14ac:dyDescent="0.25">
      <c r="B35" s="107">
        <f>'Q3 Base'!B31</f>
        <v>13</v>
      </c>
      <c r="C35" s="107">
        <f>'Q3 Base'!J31</f>
        <v>1.8329999999999999E-2</v>
      </c>
      <c r="D35" s="107">
        <f t="shared" si="0"/>
        <v>0.78967611534684101</v>
      </c>
      <c r="E35" s="111"/>
      <c r="F35" s="111">
        <f t="shared" si="2"/>
        <v>0</v>
      </c>
      <c r="G35" s="112">
        <f t="shared" si="7"/>
        <v>5.0000000000000001E-3</v>
      </c>
      <c r="H35" s="107">
        <f t="shared" si="3"/>
        <v>0.7409618031228612</v>
      </c>
      <c r="I35" s="111">
        <v>0</v>
      </c>
      <c r="J35" s="111">
        <f t="shared" si="4"/>
        <v>0</v>
      </c>
      <c r="K35" s="111">
        <f t="shared" si="5"/>
        <v>0.625</v>
      </c>
      <c r="L35" s="111">
        <f t="shared" si="6"/>
        <v>0.46310112695178823</v>
      </c>
    </row>
    <row r="36" spans="2:12" x14ac:dyDescent="0.25">
      <c r="B36" s="107">
        <f>'Q3 Base'!B32</f>
        <v>13.5</v>
      </c>
      <c r="C36" s="107">
        <f>'Q3 Base'!J32</f>
        <v>1.8280000000000001E-2</v>
      </c>
      <c r="D36" s="107">
        <f t="shared" si="0"/>
        <v>0.78305562296902942</v>
      </c>
      <c r="E36" s="111"/>
      <c r="F36" s="111">
        <f t="shared" si="2"/>
        <v>0</v>
      </c>
      <c r="G36" s="112">
        <f t="shared" si="7"/>
        <v>5.0000000000000001E-3</v>
      </c>
      <c r="H36" s="107">
        <f t="shared" si="3"/>
        <v>0.73295015324123569</v>
      </c>
      <c r="I36" s="111">
        <v>0</v>
      </c>
      <c r="J36" s="111">
        <f t="shared" si="4"/>
        <v>0</v>
      </c>
      <c r="K36" s="111">
        <f t="shared" si="5"/>
        <v>0.625</v>
      </c>
      <c r="L36" s="111">
        <f t="shared" si="6"/>
        <v>0.45809384577577228</v>
      </c>
    </row>
    <row r="37" spans="2:12" x14ac:dyDescent="0.25">
      <c r="B37" s="107">
        <f>'Q3 Base'!B33</f>
        <v>14</v>
      </c>
      <c r="C37" s="107">
        <f>'Q3 Base'!J33</f>
        <v>1.8190000000000001E-2</v>
      </c>
      <c r="D37" s="107">
        <f t="shared" si="0"/>
        <v>0.77695598577320335</v>
      </c>
      <c r="E37" s="111"/>
      <c r="F37" s="111">
        <f t="shared" si="2"/>
        <v>0</v>
      </c>
      <c r="G37" s="112">
        <f t="shared" si="7"/>
        <v>5.0000000000000001E-3</v>
      </c>
      <c r="H37" s="107">
        <f t="shared" si="3"/>
        <v>0.72545751234870692</v>
      </c>
      <c r="I37" s="111">
        <v>0</v>
      </c>
      <c r="J37" s="111">
        <f t="shared" si="4"/>
        <v>0</v>
      </c>
      <c r="K37" s="111">
        <f t="shared" si="5"/>
        <v>0.625</v>
      </c>
      <c r="L37" s="111">
        <f t="shared" si="6"/>
        <v>0.45341094521794184</v>
      </c>
    </row>
    <row r="38" spans="2:12" x14ac:dyDescent="0.25">
      <c r="B38" s="107">
        <f>'Q3 Base'!B34</f>
        <v>14.5</v>
      </c>
      <c r="C38" s="107">
        <f>'Q3 Base'!J34</f>
        <v>1.8100000000000002E-2</v>
      </c>
      <c r="D38" s="107">
        <f t="shared" si="0"/>
        <v>0.77097209109088094</v>
      </c>
      <c r="E38" s="111"/>
      <c r="F38" s="111">
        <f t="shared" si="2"/>
        <v>0</v>
      </c>
      <c r="G38" s="112">
        <f t="shared" si="7"/>
        <v>5.0000000000000001E-3</v>
      </c>
      <c r="H38" s="107">
        <f t="shared" si="3"/>
        <v>0.71810470520472924</v>
      </c>
      <c r="I38" s="111">
        <v>0</v>
      </c>
      <c r="J38" s="111">
        <f t="shared" si="4"/>
        <v>0</v>
      </c>
      <c r="K38" s="111">
        <f t="shared" si="5"/>
        <v>0.625</v>
      </c>
      <c r="L38" s="111">
        <f t="shared" si="6"/>
        <v>0.44881544075295576</v>
      </c>
    </row>
    <row r="39" spans="2:12" x14ac:dyDescent="0.25">
      <c r="B39" s="107">
        <f>'Q3 Base'!B35</f>
        <v>15</v>
      </c>
      <c r="C39" s="107">
        <f>'Q3 Base'!J35</f>
        <v>1.8010000000000002E-2</v>
      </c>
      <c r="D39" s="107">
        <f t="shared" si="0"/>
        <v>0.76510200135303652</v>
      </c>
      <c r="E39" s="111"/>
      <c r="F39" s="111">
        <f t="shared" si="2"/>
        <v>0</v>
      </c>
      <c r="G39" s="112">
        <f t="shared" si="7"/>
        <v>5.0000000000000001E-3</v>
      </c>
      <c r="H39" s="107">
        <f t="shared" si="3"/>
        <v>0.71088903420683325</v>
      </c>
      <c r="I39" s="111">
        <v>0</v>
      </c>
      <c r="J39" s="111">
        <f t="shared" si="4"/>
        <v>0</v>
      </c>
      <c r="K39" s="111">
        <f>K$6*K$5/2 +100</f>
        <v>100.625</v>
      </c>
      <c r="L39" s="111">
        <f t="shared" si="6"/>
        <v>71.5332090670626</v>
      </c>
    </row>
  </sheetData>
  <mergeCells count="4">
    <mergeCell ref="G8:H8"/>
    <mergeCell ref="I4:J4"/>
    <mergeCell ref="K4:L4"/>
    <mergeCell ref="E4:F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62A0-7F92-48FA-A5B3-F8AA3356C469}">
  <dimension ref="A1:Z41"/>
  <sheetViews>
    <sheetView topLeftCell="B1" workbookViewId="0">
      <selection activeCell="X10" sqref="X10"/>
    </sheetView>
  </sheetViews>
  <sheetFormatPr defaultRowHeight="15" x14ac:dyDescent="0.25"/>
  <cols>
    <col min="1" max="1" width="4.7109375" customWidth="1"/>
    <col min="3" max="3" width="11.85546875" customWidth="1"/>
    <col min="5" max="5" width="10.28515625" bestFit="1" customWidth="1"/>
    <col min="6" max="6" width="9" customWidth="1"/>
    <col min="7" max="7" width="14.28515625" customWidth="1"/>
    <col min="8" max="8" width="8.85546875" customWidth="1"/>
    <col min="9" max="9" width="12" bestFit="1" customWidth="1"/>
    <col min="10" max="10" width="10.28515625" bestFit="1" customWidth="1"/>
    <col min="11" max="11" width="8.85546875" customWidth="1"/>
    <col min="12" max="12" width="12.85546875" customWidth="1"/>
    <col min="13" max="13" width="10.28515625" bestFit="1" customWidth="1"/>
    <col min="14" max="14" width="8.85546875" customWidth="1"/>
    <col min="15" max="15" width="14.7109375" customWidth="1"/>
    <col min="19" max="19" width="10.28515625" bestFit="1" customWidth="1"/>
    <col min="24" max="24" width="10.28515625" customWidth="1"/>
  </cols>
  <sheetData>
    <row r="1" spans="1:26" ht="15.75" thickBot="1" x14ac:dyDescent="0.3"/>
    <row r="2" spans="1:26" s="100" customFormat="1" ht="26.25" thickBot="1" x14ac:dyDescent="0.4">
      <c r="A2" s="99" t="s">
        <v>156</v>
      </c>
    </row>
    <row r="4" spans="1:26" s="19" customFormat="1" x14ac:dyDescent="0.25">
      <c r="B4" s="131"/>
      <c r="C4" s="131"/>
      <c r="D4" s="131"/>
      <c r="E4" s="158" t="s">
        <v>168</v>
      </c>
      <c r="F4" s="159"/>
      <c r="G4" s="159"/>
      <c r="H4" s="132"/>
      <c r="I4" s="133"/>
      <c r="J4" s="155" t="s">
        <v>110</v>
      </c>
      <c r="K4" s="157"/>
      <c r="L4" s="156"/>
      <c r="M4" s="155" t="s">
        <v>111</v>
      </c>
      <c r="N4" s="157"/>
      <c r="O4" s="156"/>
    </row>
    <row r="5" spans="1:26" x14ac:dyDescent="0.25">
      <c r="B5" s="107"/>
      <c r="C5" s="107"/>
      <c r="D5" s="107"/>
      <c r="E5" s="109">
        <f>'Q3 Base'!F8</f>
        <v>1.7500000000000002E-2</v>
      </c>
      <c r="F5" s="109"/>
      <c r="G5" s="109"/>
      <c r="H5" s="109"/>
      <c r="I5" s="111"/>
      <c r="J5" s="6"/>
      <c r="K5" s="6"/>
      <c r="L5" s="6"/>
      <c r="M5" s="6">
        <v>1.2500000000000001E-2</v>
      </c>
      <c r="N5" s="6"/>
      <c r="O5" s="6"/>
    </row>
    <row r="6" spans="1:26" x14ac:dyDescent="0.25">
      <c r="B6" s="107"/>
      <c r="C6" s="107"/>
      <c r="D6" s="107"/>
      <c r="E6" s="111">
        <v>100</v>
      </c>
      <c r="F6" s="111"/>
      <c r="G6" s="111"/>
      <c r="H6" s="111"/>
      <c r="I6" s="111"/>
      <c r="J6" s="111"/>
      <c r="K6" s="111"/>
      <c r="L6" s="111"/>
      <c r="M6" s="111">
        <v>100</v>
      </c>
      <c r="N6" s="111"/>
      <c r="O6" s="111"/>
    </row>
    <row r="7" spans="1:26" x14ac:dyDescent="0.25">
      <c r="B7" s="107"/>
      <c r="C7" s="107"/>
      <c r="D7" s="107"/>
      <c r="E7" s="111"/>
      <c r="F7" s="111"/>
      <c r="G7" s="111"/>
      <c r="H7" s="111"/>
      <c r="I7" s="111"/>
      <c r="J7" s="111"/>
      <c r="K7" s="111"/>
      <c r="L7" s="111"/>
      <c r="M7" s="111"/>
      <c r="N7" s="111"/>
      <c r="O7" s="111"/>
    </row>
    <row r="8" spans="1:26" x14ac:dyDescent="0.25">
      <c r="B8" s="107"/>
      <c r="C8" s="107"/>
      <c r="D8" s="107"/>
      <c r="H8" s="135"/>
      <c r="I8" s="135"/>
      <c r="J8" s="7"/>
      <c r="K8" s="7"/>
      <c r="L8" s="7"/>
      <c r="M8" s="7"/>
      <c r="N8" s="7"/>
      <c r="O8" s="7"/>
      <c r="W8" s="1" t="s">
        <v>211</v>
      </c>
    </row>
    <row r="9" spans="1:26" s="19" customFormat="1" ht="30" x14ac:dyDescent="0.25">
      <c r="B9" s="122" t="s">
        <v>27</v>
      </c>
      <c r="C9" s="122" t="s">
        <v>94</v>
      </c>
      <c r="D9" s="122" t="s">
        <v>98</v>
      </c>
      <c r="E9" s="122" t="s">
        <v>198</v>
      </c>
      <c r="F9" s="122" t="s">
        <v>199</v>
      </c>
      <c r="G9" s="129" t="s">
        <v>200</v>
      </c>
      <c r="H9" s="122" t="s">
        <v>112</v>
      </c>
      <c r="I9" s="122" t="s">
        <v>113</v>
      </c>
      <c r="J9" s="122" t="s">
        <v>198</v>
      </c>
      <c r="K9" s="122" t="s">
        <v>199</v>
      </c>
      <c r="L9" s="129" t="s">
        <v>200</v>
      </c>
      <c r="M9" s="122" t="s">
        <v>198</v>
      </c>
      <c r="N9" s="122" t="s">
        <v>199</v>
      </c>
      <c r="O9" s="129" t="s">
        <v>200</v>
      </c>
      <c r="Q9"/>
      <c r="R9" s="136" t="s">
        <v>199</v>
      </c>
      <c r="S9" s="137" t="s">
        <v>209</v>
      </c>
      <c r="T9" s="16" t="s">
        <v>210</v>
      </c>
      <c r="W9" s="136" t="s">
        <v>199</v>
      </c>
      <c r="X9" s="137" t="s">
        <v>209</v>
      </c>
      <c r="Y9" s="16" t="s">
        <v>210</v>
      </c>
    </row>
    <row r="10" spans="1:26" x14ac:dyDescent="0.25">
      <c r="B10" s="107">
        <f>'Q3 Base'!B6</f>
        <v>0.5</v>
      </c>
      <c r="C10" s="107">
        <f>'Q3 Base'!J6</f>
        <v>1.4760000000000001E-2</v>
      </c>
      <c r="D10" s="107">
        <f t="shared" ref="D10:D39" si="0">(1+C10)^-B10</f>
        <v>0.99270070453959558</v>
      </c>
      <c r="E10" s="111">
        <f>E$6*E$5/2</f>
        <v>0.87500000000000011</v>
      </c>
      <c r="F10" s="111">
        <f>D10*E10</f>
        <v>0.86861311647214623</v>
      </c>
      <c r="G10" s="111">
        <f>F10*B10</f>
        <v>0.43430655823607311</v>
      </c>
      <c r="H10" s="112">
        <v>5.0000000000000001E-3</v>
      </c>
      <c r="I10" s="107">
        <f>(1+C10+H10)^-B10</f>
        <v>0.99026405148363483</v>
      </c>
      <c r="J10" s="111">
        <v>0</v>
      </c>
      <c r="K10" s="111">
        <f>J10*$I10</f>
        <v>0</v>
      </c>
      <c r="L10" s="111">
        <f>K10*B10</f>
        <v>0</v>
      </c>
      <c r="M10" s="111">
        <f>M$6*M$5/2</f>
        <v>0.625</v>
      </c>
      <c r="N10" s="111">
        <f>M10*$I10</f>
        <v>0.61891503217727173</v>
      </c>
      <c r="O10" s="111">
        <f>N10*B10</f>
        <v>0.30945751608863586</v>
      </c>
      <c r="Q10" s="57" t="s">
        <v>168</v>
      </c>
      <c r="R10" s="128">
        <f>F41</f>
        <v>99.745672708136311</v>
      </c>
      <c r="S10" s="128">
        <f>G41</f>
        <v>918.9871292352185</v>
      </c>
      <c r="T10">
        <f>S10/R10</f>
        <v>9.2133032369659507</v>
      </c>
      <c r="U10" t="s">
        <v>101</v>
      </c>
      <c r="V10" s="72" t="s">
        <v>3</v>
      </c>
      <c r="W10">
        <f>SUMPRODUCT(D10:D39,E10:E39)</f>
        <v>99.745672708136311</v>
      </c>
      <c r="X10">
        <f>SUMPRODUCT(B10:B39,D10:D39,E10:E39)</f>
        <v>918.9871292352185</v>
      </c>
      <c r="Y10">
        <f>X10/W10</f>
        <v>9.2133032369659507</v>
      </c>
      <c r="Z10" t="s">
        <v>101</v>
      </c>
    </row>
    <row r="11" spans="1:26" x14ac:dyDescent="0.25">
      <c r="B11" s="107">
        <f>'Q3 Base'!B7</f>
        <v>1</v>
      </c>
      <c r="C11" s="107">
        <f>'Q3 Base'!J7</f>
        <v>1.5140000000000001E-2</v>
      </c>
      <c r="D11" s="107">
        <f t="shared" si="0"/>
        <v>0.98508580097326481</v>
      </c>
      <c r="E11" s="111">
        <f t="shared" ref="E11:E28" si="1">E$6*E$5/2</f>
        <v>0.87500000000000011</v>
      </c>
      <c r="F11" s="111">
        <f t="shared" ref="F11:F39" si="2">D11*E11</f>
        <v>0.86195007585160677</v>
      </c>
      <c r="G11" s="111">
        <f t="shared" ref="G11:G39" si="3">F11*B11</f>
        <v>0.86195007585160677</v>
      </c>
      <c r="H11" s="112">
        <f>H10</f>
        <v>5.0000000000000001E-3</v>
      </c>
      <c r="I11" s="107">
        <f t="shared" ref="I11:I39" si="4">(1+C11+H11)^-B11</f>
        <v>0.98025761170035497</v>
      </c>
      <c r="J11" s="111">
        <v>0</v>
      </c>
      <c r="K11" s="111">
        <f t="shared" ref="K11:K39" si="5">J11*$I11</f>
        <v>0</v>
      </c>
      <c r="L11" s="111">
        <f t="shared" ref="L11:L39" si="6">K11*B11</f>
        <v>0</v>
      </c>
      <c r="M11" s="111">
        <f t="shared" ref="M11:M38" si="7">M$6*M$5/2</f>
        <v>0.625</v>
      </c>
      <c r="N11" s="111">
        <f t="shared" ref="N11:N39" si="8">M11*$I11</f>
        <v>0.61266100731272188</v>
      </c>
      <c r="O11" s="111">
        <f t="shared" ref="O11:O39" si="9">N11*B11</f>
        <v>0.61266100731272188</v>
      </c>
      <c r="Q11" s="57" t="s">
        <v>207</v>
      </c>
      <c r="R11" s="128">
        <f>K41</f>
        <v>83.717269682684673</v>
      </c>
      <c r="S11" s="128">
        <f>L41</f>
        <v>837.17269682684673</v>
      </c>
      <c r="T11">
        <f t="shared" ref="T11:T12" si="10">S11/R11</f>
        <v>10</v>
      </c>
      <c r="U11" t="s">
        <v>101</v>
      </c>
      <c r="V11" s="72" t="s">
        <v>2</v>
      </c>
      <c r="W11">
        <f>SUMPRODUCT(I10:I39,J10:J39)</f>
        <v>83.717269682684673</v>
      </c>
      <c r="X11">
        <f>SUMPRODUCT(B10:B39,I10:I39,J10:J39)</f>
        <v>837.17269682684685</v>
      </c>
      <c r="Y11">
        <f t="shared" ref="Y11:Y12" si="11">X11/W11</f>
        <v>10.000000000000002</v>
      </c>
      <c r="Z11" t="s">
        <v>101</v>
      </c>
    </row>
    <row r="12" spans="1:26" x14ac:dyDescent="0.25">
      <c r="B12" s="107">
        <f>'Q3 Base'!B8</f>
        <v>1.5</v>
      </c>
      <c r="C12" s="107">
        <f>'Q3 Base'!J8</f>
        <v>1.54E-2</v>
      </c>
      <c r="D12" s="107">
        <f t="shared" si="0"/>
        <v>0.97733682178133019</v>
      </c>
      <c r="E12" s="111">
        <f t="shared" si="1"/>
        <v>0.87500000000000011</v>
      </c>
      <c r="F12" s="111">
        <f t="shared" si="2"/>
        <v>0.85516971905866401</v>
      </c>
      <c r="G12" s="111">
        <f t="shared" si="3"/>
        <v>1.2827545785879959</v>
      </c>
      <c r="H12" s="112">
        <f t="shared" ref="H12:H39" si="12">H11</f>
        <v>5.0000000000000001E-3</v>
      </c>
      <c r="I12" s="107">
        <f t="shared" si="4"/>
        <v>0.97016214571040793</v>
      </c>
      <c r="J12" s="111">
        <v>0</v>
      </c>
      <c r="K12" s="111">
        <f t="shared" si="5"/>
        <v>0</v>
      </c>
      <c r="L12" s="111">
        <f t="shared" si="6"/>
        <v>0</v>
      </c>
      <c r="M12" s="111">
        <f t="shared" si="7"/>
        <v>0.625</v>
      </c>
      <c r="N12" s="111">
        <f t="shared" si="8"/>
        <v>0.6063513410690049</v>
      </c>
      <c r="O12" s="111">
        <f t="shared" si="9"/>
        <v>0.90952701160350735</v>
      </c>
      <c r="Q12" s="57" t="s">
        <v>208</v>
      </c>
      <c r="R12" s="128">
        <f>N41</f>
        <v>86.916435305607678</v>
      </c>
      <c r="S12" s="128">
        <f>O41</f>
        <v>1182.1090190716011</v>
      </c>
      <c r="T12">
        <f t="shared" si="10"/>
        <v>13.600523478846972</v>
      </c>
      <c r="U12" t="s">
        <v>101</v>
      </c>
      <c r="V12" s="72" t="s">
        <v>3</v>
      </c>
      <c r="W12">
        <f>SUMPRODUCT(I10:I39,M10:M39)</f>
        <v>86.916435305607678</v>
      </c>
      <c r="X12">
        <f>SUMPRODUCT(B10:B39,I10:I39,M10:M39)</f>
        <v>1182.1090190716011</v>
      </c>
      <c r="Y12">
        <f t="shared" si="11"/>
        <v>13.600523478846972</v>
      </c>
      <c r="Z12" t="s">
        <v>101</v>
      </c>
    </row>
    <row r="13" spans="1:26" x14ac:dyDescent="0.25">
      <c r="B13" s="107">
        <f>'Q3 Base'!B9</f>
        <v>2</v>
      </c>
      <c r="C13" s="107">
        <f>'Q3 Base'!J9</f>
        <v>1.566E-2</v>
      </c>
      <c r="D13" s="107">
        <f t="shared" si="0"/>
        <v>0.96940064039513663</v>
      </c>
      <c r="E13" s="111">
        <f t="shared" si="1"/>
        <v>0.87500000000000011</v>
      </c>
      <c r="F13" s="111">
        <f t="shared" si="2"/>
        <v>0.8482255603457447</v>
      </c>
      <c r="G13" s="111">
        <f t="shared" si="3"/>
        <v>1.6964511206914894</v>
      </c>
      <c r="H13" s="112">
        <f t="shared" si="12"/>
        <v>5.0000000000000001E-3</v>
      </c>
      <c r="I13" s="107">
        <f t="shared" si="4"/>
        <v>0.95992612199685212</v>
      </c>
      <c r="J13" s="111">
        <v>0</v>
      </c>
      <c r="K13" s="111">
        <f t="shared" si="5"/>
        <v>0</v>
      </c>
      <c r="L13" s="111">
        <f t="shared" si="6"/>
        <v>0</v>
      </c>
      <c r="M13" s="111">
        <f t="shared" si="7"/>
        <v>0.625</v>
      </c>
      <c r="N13" s="111">
        <f t="shared" si="8"/>
        <v>0.59995382624803262</v>
      </c>
      <c r="O13" s="111">
        <f t="shared" si="9"/>
        <v>1.1999076524960652</v>
      </c>
    </row>
    <row r="14" spans="1:26" x14ac:dyDescent="0.25">
      <c r="B14" s="107">
        <f>'Q3 Base'!B10</f>
        <v>2.5</v>
      </c>
      <c r="C14" s="107">
        <f>'Q3 Base'!J10</f>
        <v>1.592E-2</v>
      </c>
      <c r="D14" s="107">
        <f t="shared" si="0"/>
        <v>0.96128291704691649</v>
      </c>
      <c r="E14" s="111">
        <f t="shared" si="1"/>
        <v>0.87500000000000011</v>
      </c>
      <c r="F14" s="111">
        <f t="shared" si="2"/>
        <v>0.84112255241605205</v>
      </c>
      <c r="G14" s="111">
        <f t="shared" si="3"/>
        <v>2.1028063810401303</v>
      </c>
      <c r="H14" s="112">
        <f t="shared" si="12"/>
        <v>5.0000000000000001E-3</v>
      </c>
      <c r="I14" s="107">
        <f t="shared" si="4"/>
        <v>0.94955630211414332</v>
      </c>
      <c r="J14" s="111">
        <v>0</v>
      </c>
      <c r="K14" s="111">
        <f t="shared" si="5"/>
        <v>0</v>
      </c>
      <c r="L14" s="111">
        <f t="shared" si="6"/>
        <v>0</v>
      </c>
      <c r="M14" s="111">
        <f t="shared" si="7"/>
        <v>0.625</v>
      </c>
      <c r="N14" s="111">
        <f t="shared" si="8"/>
        <v>0.59347268882133952</v>
      </c>
      <c r="O14" s="111">
        <f t="shared" si="9"/>
        <v>1.4836817220533489</v>
      </c>
    </row>
    <row r="15" spans="1:26" x14ac:dyDescent="0.25">
      <c r="B15" s="107">
        <f>'Q3 Base'!B11</f>
        <v>3</v>
      </c>
      <c r="C15" s="107">
        <f>'Q3 Base'!J11</f>
        <v>1.618E-2</v>
      </c>
      <c r="D15" s="107">
        <f t="shared" si="0"/>
        <v>0.95298940162381218</v>
      </c>
      <c r="E15" s="111">
        <f t="shared" si="1"/>
        <v>0.87500000000000011</v>
      </c>
      <c r="F15" s="111">
        <f t="shared" si="2"/>
        <v>0.83386572642083578</v>
      </c>
      <c r="G15" s="111">
        <f t="shared" si="3"/>
        <v>2.5015971792625074</v>
      </c>
      <c r="H15" s="112">
        <f t="shared" si="12"/>
        <v>5.0000000000000001E-3</v>
      </c>
      <c r="I15" s="107">
        <f t="shared" si="4"/>
        <v>0.93905947401201095</v>
      </c>
      <c r="J15" s="111">
        <v>0</v>
      </c>
      <c r="K15" s="111">
        <f t="shared" si="5"/>
        <v>0</v>
      </c>
      <c r="L15" s="111">
        <f t="shared" si="6"/>
        <v>0</v>
      </c>
      <c r="M15" s="111">
        <f t="shared" si="7"/>
        <v>0.625</v>
      </c>
      <c r="N15" s="111">
        <f t="shared" si="8"/>
        <v>0.58691217125750683</v>
      </c>
      <c r="O15" s="111">
        <f t="shared" si="9"/>
        <v>1.7607365137725206</v>
      </c>
    </row>
    <row r="16" spans="1:26" x14ac:dyDescent="0.25">
      <c r="B16" s="107">
        <f>'Q3 Base'!B12</f>
        <v>3.5</v>
      </c>
      <c r="C16" s="107">
        <f>'Q3 Base'!J12</f>
        <v>1.6420000000000001E-2</v>
      </c>
      <c r="D16" s="107">
        <f t="shared" si="0"/>
        <v>0.94459097727181762</v>
      </c>
      <c r="E16" s="111">
        <f t="shared" si="1"/>
        <v>0.87500000000000011</v>
      </c>
      <c r="F16" s="111">
        <f t="shared" si="2"/>
        <v>0.82651710511284049</v>
      </c>
      <c r="G16" s="111">
        <f t="shared" si="3"/>
        <v>2.8928098678949419</v>
      </c>
      <c r="H16" s="112">
        <f t="shared" si="12"/>
        <v>5.0000000000000001E-3</v>
      </c>
      <c r="I16" s="107">
        <f t="shared" si="4"/>
        <v>0.92850607441995259</v>
      </c>
      <c r="J16" s="111">
        <v>0</v>
      </c>
      <c r="K16" s="111">
        <f t="shared" si="5"/>
        <v>0</v>
      </c>
      <c r="L16" s="111">
        <f t="shared" si="6"/>
        <v>0</v>
      </c>
      <c r="M16" s="111">
        <f t="shared" si="7"/>
        <v>0.625</v>
      </c>
      <c r="N16" s="111">
        <f t="shared" si="8"/>
        <v>0.58031629651247041</v>
      </c>
      <c r="O16" s="111">
        <f t="shared" si="9"/>
        <v>2.0311070377936464</v>
      </c>
    </row>
    <row r="17" spans="2:15" x14ac:dyDescent="0.25">
      <c r="B17" s="107">
        <f>'Q3 Base'!B13</f>
        <v>4</v>
      </c>
      <c r="C17" s="107">
        <f>'Q3 Base'!J13</f>
        <v>1.6639999999999999E-2</v>
      </c>
      <c r="D17" s="107">
        <f t="shared" si="0"/>
        <v>0.93611936081547698</v>
      </c>
      <c r="E17" s="111">
        <f t="shared" si="1"/>
        <v>0.87500000000000011</v>
      </c>
      <c r="F17" s="111">
        <f t="shared" si="2"/>
        <v>0.81910444071354249</v>
      </c>
      <c r="G17" s="111">
        <f t="shared" si="3"/>
        <v>3.27641776285417</v>
      </c>
      <c r="H17" s="112">
        <f t="shared" si="12"/>
        <v>5.0000000000000001E-3</v>
      </c>
      <c r="I17" s="107">
        <f t="shared" si="4"/>
        <v>0.91792763820802092</v>
      </c>
      <c r="J17" s="111">
        <v>0</v>
      </c>
      <c r="K17" s="111">
        <f t="shared" si="5"/>
        <v>0</v>
      </c>
      <c r="L17" s="111">
        <f t="shared" si="6"/>
        <v>0</v>
      </c>
      <c r="M17" s="111">
        <f t="shared" si="7"/>
        <v>0.625</v>
      </c>
      <c r="N17" s="111">
        <f t="shared" si="8"/>
        <v>0.57370477388001306</v>
      </c>
      <c r="O17" s="111">
        <f t="shared" si="9"/>
        <v>2.2948190955200523</v>
      </c>
    </row>
    <row r="18" spans="2:15" x14ac:dyDescent="0.25">
      <c r="B18" s="107">
        <f>'Q3 Base'!B14</f>
        <v>4.5</v>
      </c>
      <c r="C18" s="107">
        <f>'Q3 Base'!J14</f>
        <v>1.687E-2</v>
      </c>
      <c r="D18" s="107">
        <f t="shared" si="0"/>
        <v>0.92748211399172409</v>
      </c>
      <c r="E18" s="111">
        <f t="shared" si="1"/>
        <v>0.87500000000000011</v>
      </c>
      <c r="F18" s="111">
        <f t="shared" si="2"/>
        <v>0.8115468497427587</v>
      </c>
      <c r="G18" s="111">
        <f t="shared" si="3"/>
        <v>3.6519608238424142</v>
      </c>
      <c r="H18" s="112">
        <f t="shared" si="12"/>
        <v>5.0000000000000001E-3</v>
      </c>
      <c r="I18" s="107">
        <f t="shared" si="4"/>
        <v>0.90723454360898104</v>
      </c>
      <c r="J18" s="111">
        <v>0</v>
      </c>
      <c r="K18" s="111">
        <f t="shared" si="5"/>
        <v>0</v>
      </c>
      <c r="L18" s="111">
        <f t="shared" si="6"/>
        <v>0</v>
      </c>
      <c r="M18" s="111">
        <f t="shared" si="7"/>
        <v>0.625</v>
      </c>
      <c r="N18" s="111">
        <f t="shared" si="8"/>
        <v>0.56702158975561312</v>
      </c>
      <c r="O18" s="111">
        <f t="shared" si="9"/>
        <v>2.5515971539002589</v>
      </c>
    </row>
    <row r="19" spans="2:15" x14ac:dyDescent="0.25">
      <c r="B19" s="107">
        <f>'Q3 Base'!B15</f>
        <v>5</v>
      </c>
      <c r="C19" s="107">
        <f>'Q3 Base'!J15</f>
        <v>1.703E-2</v>
      </c>
      <c r="D19" s="107">
        <f t="shared" si="0"/>
        <v>0.91903315889413673</v>
      </c>
      <c r="E19" s="111">
        <f t="shared" si="1"/>
        <v>0.87500000000000011</v>
      </c>
      <c r="F19" s="111">
        <f t="shared" si="2"/>
        <v>0.80415401403236975</v>
      </c>
      <c r="G19" s="111">
        <f t="shared" si="3"/>
        <v>4.0207700701618485</v>
      </c>
      <c r="H19" s="112">
        <f t="shared" si="12"/>
        <v>5.0000000000000001E-3</v>
      </c>
      <c r="I19" s="107">
        <f t="shared" si="4"/>
        <v>0.89677146377005035</v>
      </c>
      <c r="J19" s="111">
        <v>0</v>
      </c>
      <c r="K19" s="111">
        <f t="shared" si="5"/>
        <v>0</v>
      </c>
      <c r="L19" s="111">
        <f t="shared" si="6"/>
        <v>0</v>
      </c>
      <c r="M19" s="111">
        <f t="shared" si="7"/>
        <v>0.625</v>
      </c>
      <c r="N19" s="111">
        <f t="shared" si="8"/>
        <v>0.56048216485628144</v>
      </c>
      <c r="O19" s="111">
        <f t="shared" si="9"/>
        <v>2.8024108242814072</v>
      </c>
    </row>
    <row r="20" spans="2:15" x14ac:dyDescent="0.25">
      <c r="B20" s="107">
        <f>'Q3 Base'!B16</f>
        <v>5.5</v>
      </c>
      <c r="C20" s="107">
        <f>'Q3 Base'!J16</f>
        <v>1.7139999999999999E-2</v>
      </c>
      <c r="D20" s="107">
        <f t="shared" si="0"/>
        <v>0.91076422832689952</v>
      </c>
      <c r="E20" s="111">
        <f t="shared" si="1"/>
        <v>0.87500000000000011</v>
      </c>
      <c r="F20" s="111">
        <f t="shared" si="2"/>
        <v>0.79691869978603713</v>
      </c>
      <c r="G20" s="111">
        <f t="shared" si="3"/>
        <v>4.3830528488232039</v>
      </c>
      <c r="H20" s="112">
        <f t="shared" si="12"/>
        <v>5.0000000000000001E-3</v>
      </c>
      <c r="I20" s="107">
        <f t="shared" si="4"/>
        <v>0.8865288787501745</v>
      </c>
      <c r="J20" s="111">
        <v>0</v>
      </c>
      <c r="K20" s="111">
        <f t="shared" si="5"/>
        <v>0</v>
      </c>
      <c r="L20" s="111">
        <f t="shared" si="6"/>
        <v>0</v>
      </c>
      <c r="M20" s="111">
        <f t="shared" si="7"/>
        <v>0.625</v>
      </c>
      <c r="N20" s="111">
        <f t="shared" si="8"/>
        <v>0.55408054921885908</v>
      </c>
      <c r="O20" s="111">
        <f t="shared" si="9"/>
        <v>3.0474430207037249</v>
      </c>
    </row>
    <row r="21" spans="2:15" x14ac:dyDescent="0.25">
      <c r="B21" s="107">
        <f>'Q3 Base'!B17</f>
        <v>6</v>
      </c>
      <c r="C21" s="107">
        <f>'Q3 Base'!J17</f>
        <v>1.7260000000000001E-2</v>
      </c>
      <c r="D21" s="107">
        <f t="shared" si="0"/>
        <v>0.90241892224433062</v>
      </c>
      <c r="E21" s="111">
        <f t="shared" si="1"/>
        <v>0.87500000000000011</v>
      </c>
      <c r="F21" s="111">
        <f t="shared" si="2"/>
        <v>0.78961655696378941</v>
      </c>
      <c r="G21" s="111">
        <f t="shared" si="3"/>
        <v>4.7376993417827364</v>
      </c>
      <c r="H21" s="112">
        <f t="shared" si="12"/>
        <v>5.0000000000000001E-3</v>
      </c>
      <c r="I21" s="107">
        <f t="shared" si="4"/>
        <v>0.87625759299107298</v>
      </c>
      <c r="J21" s="111">
        <v>0</v>
      </c>
      <c r="K21" s="111">
        <f t="shared" si="5"/>
        <v>0</v>
      </c>
      <c r="L21" s="111">
        <f t="shared" si="6"/>
        <v>0</v>
      </c>
      <c r="M21" s="111">
        <f t="shared" si="7"/>
        <v>0.625</v>
      </c>
      <c r="N21" s="111">
        <f t="shared" si="8"/>
        <v>0.54766099561942061</v>
      </c>
      <c r="O21" s="111">
        <f t="shared" si="9"/>
        <v>3.2859659737165234</v>
      </c>
    </row>
    <row r="22" spans="2:15" x14ac:dyDescent="0.25">
      <c r="B22" s="107">
        <f>'Q3 Base'!B18</f>
        <v>6.5</v>
      </c>
      <c r="C22" s="107">
        <f>'Q3 Base'!J18</f>
        <v>1.738E-2</v>
      </c>
      <c r="D22" s="107">
        <f t="shared" si="0"/>
        <v>0.89404468735619824</v>
      </c>
      <c r="E22" s="111">
        <f t="shared" si="1"/>
        <v>0.87500000000000011</v>
      </c>
      <c r="F22" s="111">
        <f t="shared" si="2"/>
        <v>0.78228910143667352</v>
      </c>
      <c r="G22" s="111">
        <f t="shared" si="3"/>
        <v>5.084879159338378</v>
      </c>
      <c r="H22" s="112">
        <f t="shared" si="12"/>
        <v>5.0000000000000001E-3</v>
      </c>
      <c r="I22" s="107">
        <f t="shared" si="4"/>
        <v>0.86600371800205722</v>
      </c>
      <c r="J22" s="111">
        <v>0</v>
      </c>
      <c r="K22" s="111">
        <f t="shared" si="5"/>
        <v>0</v>
      </c>
      <c r="L22" s="111">
        <f t="shared" si="6"/>
        <v>0</v>
      </c>
      <c r="M22" s="111">
        <f t="shared" si="7"/>
        <v>0.625</v>
      </c>
      <c r="N22" s="111">
        <f t="shared" si="8"/>
        <v>0.54125232375128574</v>
      </c>
      <c r="O22" s="111">
        <f t="shared" si="9"/>
        <v>3.5181401043833573</v>
      </c>
    </row>
    <row r="23" spans="2:15" x14ac:dyDescent="0.25">
      <c r="B23" s="107">
        <f>'Q3 Base'!B19</f>
        <v>7</v>
      </c>
      <c r="C23" s="107">
        <f>'Q3 Base'!J19</f>
        <v>1.7510000000000001E-2</v>
      </c>
      <c r="D23" s="107">
        <f t="shared" si="0"/>
        <v>0.88558284920668107</v>
      </c>
      <c r="E23" s="111">
        <f t="shared" si="1"/>
        <v>0.87500000000000011</v>
      </c>
      <c r="F23" s="111">
        <f t="shared" si="2"/>
        <v>0.77488499305584602</v>
      </c>
      <c r="G23" s="111">
        <f t="shared" si="3"/>
        <v>5.4241949513909224</v>
      </c>
      <c r="H23" s="112">
        <f t="shared" si="12"/>
        <v>5.0000000000000001E-3</v>
      </c>
      <c r="I23" s="107">
        <f t="shared" si="4"/>
        <v>0.85571087575208982</v>
      </c>
      <c r="J23" s="111">
        <v>0</v>
      </c>
      <c r="K23" s="111">
        <f t="shared" si="5"/>
        <v>0</v>
      </c>
      <c r="L23" s="111">
        <f t="shared" si="6"/>
        <v>0</v>
      </c>
      <c r="M23" s="111">
        <f t="shared" si="7"/>
        <v>0.625</v>
      </c>
      <c r="N23" s="111">
        <f t="shared" si="8"/>
        <v>0.53481929734505618</v>
      </c>
      <c r="O23" s="111">
        <f t="shared" si="9"/>
        <v>3.7437350814153931</v>
      </c>
    </row>
    <row r="24" spans="2:15" x14ac:dyDescent="0.25">
      <c r="B24" s="107">
        <f>'Q3 Base'!B20</f>
        <v>7.5</v>
      </c>
      <c r="C24" s="107">
        <f>'Q3 Base'!J20</f>
        <v>1.7639999999999999E-2</v>
      </c>
      <c r="D24" s="107">
        <f t="shared" si="0"/>
        <v>0.87708913321076187</v>
      </c>
      <c r="E24" s="111">
        <f t="shared" si="1"/>
        <v>0.87500000000000011</v>
      </c>
      <c r="F24" s="111">
        <f t="shared" si="2"/>
        <v>0.76745299155941671</v>
      </c>
      <c r="G24" s="111">
        <f t="shared" si="3"/>
        <v>5.7558974366956255</v>
      </c>
      <c r="H24" s="112">
        <f t="shared" si="12"/>
        <v>5.0000000000000001E-3</v>
      </c>
      <c r="I24" s="107">
        <f t="shared" si="4"/>
        <v>0.84543297062342571</v>
      </c>
      <c r="J24" s="111">
        <v>0</v>
      </c>
      <c r="K24" s="111">
        <f t="shared" si="5"/>
        <v>0</v>
      </c>
      <c r="L24" s="111">
        <f t="shared" si="6"/>
        <v>0</v>
      </c>
      <c r="M24" s="111">
        <f t="shared" si="7"/>
        <v>0.625</v>
      </c>
      <c r="N24" s="111">
        <f t="shared" si="8"/>
        <v>0.52839560663964102</v>
      </c>
      <c r="O24" s="111">
        <f t="shared" si="9"/>
        <v>3.9629670497973075</v>
      </c>
    </row>
    <row r="25" spans="2:15" x14ac:dyDescent="0.25">
      <c r="B25" s="107">
        <f>'Q3 Base'!B21</f>
        <v>8</v>
      </c>
      <c r="C25" s="107">
        <f>'Q3 Base'!J21</f>
        <v>1.7850000000000001E-2</v>
      </c>
      <c r="D25" s="107">
        <f t="shared" si="0"/>
        <v>0.86802004067996485</v>
      </c>
      <c r="E25" s="111">
        <f t="shared" si="1"/>
        <v>0.87500000000000011</v>
      </c>
      <c r="F25" s="111">
        <f t="shared" si="2"/>
        <v>0.75951753559496937</v>
      </c>
      <c r="G25" s="111">
        <f t="shared" si="3"/>
        <v>6.076140284759755</v>
      </c>
      <c r="H25" s="112">
        <f t="shared" si="12"/>
        <v>5.0000000000000001E-3</v>
      </c>
      <c r="I25" s="107">
        <f t="shared" si="4"/>
        <v>0.83465001206875955</v>
      </c>
      <c r="J25" s="111">
        <v>0</v>
      </c>
      <c r="K25" s="111">
        <f t="shared" si="5"/>
        <v>0</v>
      </c>
      <c r="L25" s="111">
        <f t="shared" si="6"/>
        <v>0</v>
      </c>
      <c r="M25" s="111">
        <f t="shared" si="7"/>
        <v>0.625</v>
      </c>
      <c r="N25" s="111">
        <f t="shared" si="8"/>
        <v>0.52165625754297473</v>
      </c>
      <c r="O25" s="111">
        <f t="shared" si="9"/>
        <v>4.1732500603437979</v>
      </c>
    </row>
    <row r="26" spans="2:15" x14ac:dyDescent="0.25">
      <c r="B26" s="107">
        <f>'Q3 Base'!B22</f>
        <v>8.5</v>
      </c>
      <c r="C26" s="107">
        <f>'Q3 Base'!J22</f>
        <v>1.7930000000000001E-2</v>
      </c>
      <c r="D26" s="107">
        <f t="shared" si="0"/>
        <v>0.85980057632107809</v>
      </c>
      <c r="E26" s="111">
        <f t="shared" si="1"/>
        <v>0.87500000000000011</v>
      </c>
      <c r="F26" s="111">
        <f t="shared" si="2"/>
        <v>0.75232550428094347</v>
      </c>
      <c r="G26" s="111">
        <f t="shared" si="3"/>
        <v>6.3947667863880193</v>
      </c>
      <c r="H26" s="112">
        <f t="shared" si="12"/>
        <v>5.0000000000000001E-3</v>
      </c>
      <c r="I26" s="107">
        <f t="shared" si="4"/>
        <v>0.82472605967866086</v>
      </c>
      <c r="J26" s="111">
        <v>0</v>
      </c>
      <c r="K26" s="111">
        <f t="shared" si="5"/>
        <v>0</v>
      </c>
      <c r="L26" s="111">
        <f t="shared" si="6"/>
        <v>0</v>
      </c>
      <c r="M26" s="111">
        <f t="shared" si="7"/>
        <v>0.625</v>
      </c>
      <c r="N26" s="111">
        <f t="shared" si="8"/>
        <v>0.51545378729916302</v>
      </c>
      <c r="O26" s="111">
        <f t="shared" si="9"/>
        <v>4.381357192042886</v>
      </c>
    </row>
    <row r="27" spans="2:15" x14ac:dyDescent="0.25">
      <c r="B27" s="107">
        <f>'Q3 Base'!B23</f>
        <v>9</v>
      </c>
      <c r="C27" s="107">
        <f>'Q3 Base'!J23</f>
        <v>1.7919999999999998E-2</v>
      </c>
      <c r="D27" s="107">
        <f t="shared" si="0"/>
        <v>0.85226994438021086</v>
      </c>
      <c r="E27" s="111">
        <f t="shared" si="1"/>
        <v>0.87500000000000011</v>
      </c>
      <c r="F27" s="111">
        <f t="shared" si="2"/>
        <v>0.74573620133268459</v>
      </c>
      <c r="G27" s="111">
        <f t="shared" si="3"/>
        <v>6.7116258119941614</v>
      </c>
      <c r="H27" s="112">
        <f t="shared" si="12"/>
        <v>5.0000000000000001E-3</v>
      </c>
      <c r="I27" s="107">
        <f t="shared" si="4"/>
        <v>0.81550188709638727</v>
      </c>
      <c r="J27" s="111">
        <v>0</v>
      </c>
      <c r="K27" s="111">
        <f t="shared" si="5"/>
        <v>0</v>
      </c>
      <c r="L27" s="111">
        <f t="shared" si="6"/>
        <v>0</v>
      </c>
      <c r="M27" s="111">
        <f t="shared" si="7"/>
        <v>0.625</v>
      </c>
      <c r="N27" s="111">
        <f t="shared" si="8"/>
        <v>0.50968867943524199</v>
      </c>
      <c r="O27" s="111">
        <f t="shared" si="9"/>
        <v>4.5871981149171779</v>
      </c>
    </row>
    <row r="28" spans="2:15" x14ac:dyDescent="0.25">
      <c r="B28" s="107">
        <f>'Q3 Base'!B24</f>
        <v>9.5</v>
      </c>
      <c r="C28" s="107">
        <f>'Q3 Base'!J24</f>
        <v>1.7919999999999998E-2</v>
      </c>
      <c r="D28" s="107">
        <f t="shared" si="0"/>
        <v>0.84473472907752201</v>
      </c>
      <c r="E28" s="111">
        <f t="shared" si="1"/>
        <v>0.87500000000000011</v>
      </c>
      <c r="F28" s="111">
        <f t="shared" si="2"/>
        <v>0.73914288794283189</v>
      </c>
      <c r="G28" s="111">
        <f t="shared" si="3"/>
        <v>7.0218574354569032</v>
      </c>
      <c r="H28" s="112">
        <f t="shared" si="12"/>
        <v>5.0000000000000001E-3</v>
      </c>
      <c r="I28" s="107">
        <f t="shared" si="4"/>
        <v>0.8063138790677109</v>
      </c>
      <c r="J28" s="111">
        <v>0</v>
      </c>
      <c r="K28" s="111">
        <f t="shared" si="5"/>
        <v>0</v>
      </c>
      <c r="L28" s="111">
        <f t="shared" si="6"/>
        <v>0</v>
      </c>
      <c r="M28" s="111">
        <f t="shared" si="7"/>
        <v>0.625</v>
      </c>
      <c r="N28" s="111">
        <f t="shared" si="8"/>
        <v>0.50394617441731926</v>
      </c>
      <c r="O28" s="111">
        <f t="shared" si="9"/>
        <v>4.7874886569645332</v>
      </c>
    </row>
    <row r="29" spans="2:15" x14ac:dyDescent="0.25">
      <c r="B29" s="107">
        <f>'Q3 Base'!B25</f>
        <v>10</v>
      </c>
      <c r="C29" s="107">
        <f>'Q3 Base'!J25</f>
        <v>1.7909999999999999E-2</v>
      </c>
      <c r="D29" s="107">
        <f t="shared" si="0"/>
        <v>0.83734839232730174</v>
      </c>
      <c r="E29" s="111">
        <f>E$6*E$5/2 +100</f>
        <v>100.875</v>
      </c>
      <c r="F29" s="111">
        <f t="shared" si="2"/>
        <v>84.467519076016558</v>
      </c>
      <c r="G29" s="111">
        <f t="shared" si="3"/>
        <v>844.67519076016561</v>
      </c>
      <c r="H29" s="112">
        <f t="shared" si="12"/>
        <v>5.0000000000000001E-3</v>
      </c>
      <c r="I29" s="107">
        <f t="shared" si="4"/>
        <v>0.79730733031128265</v>
      </c>
      <c r="J29" s="111">
        <f>100*1.05</f>
        <v>105</v>
      </c>
      <c r="K29" s="111">
        <f t="shared" si="5"/>
        <v>83.717269682684673</v>
      </c>
      <c r="L29" s="111">
        <f t="shared" si="6"/>
        <v>837.17269682684673</v>
      </c>
      <c r="M29" s="111">
        <f t="shared" si="7"/>
        <v>0.625</v>
      </c>
      <c r="N29" s="111">
        <f t="shared" si="8"/>
        <v>0.49831708144455167</v>
      </c>
      <c r="O29" s="111">
        <f t="shared" si="9"/>
        <v>4.9831708144455167</v>
      </c>
    </row>
    <row r="30" spans="2:15" x14ac:dyDescent="0.25">
      <c r="B30" s="107">
        <f>'Q3 Base'!B26</f>
        <v>10.5</v>
      </c>
      <c r="C30" s="107">
        <f>'Q3 Base'!J26</f>
        <v>1.7909999999999999E-2</v>
      </c>
      <c r="D30" s="107">
        <f t="shared" si="0"/>
        <v>0.82994918036296783</v>
      </c>
      <c r="E30" s="111"/>
      <c r="F30" s="111">
        <f t="shared" si="2"/>
        <v>0</v>
      </c>
      <c r="G30" s="111">
        <f t="shared" si="3"/>
        <v>0</v>
      </c>
      <c r="H30" s="112">
        <f t="shared" si="12"/>
        <v>5.0000000000000001E-3</v>
      </c>
      <c r="I30" s="107">
        <f t="shared" si="4"/>
        <v>0.78832816806961858</v>
      </c>
      <c r="J30" s="111">
        <v>0</v>
      </c>
      <c r="K30" s="111">
        <f t="shared" si="5"/>
        <v>0</v>
      </c>
      <c r="L30" s="111">
        <f t="shared" si="6"/>
        <v>0</v>
      </c>
      <c r="M30" s="111">
        <f t="shared" si="7"/>
        <v>0.625</v>
      </c>
      <c r="N30" s="111">
        <f t="shared" si="8"/>
        <v>0.49270510504351162</v>
      </c>
      <c r="O30" s="111">
        <f t="shared" si="9"/>
        <v>5.1734036029568724</v>
      </c>
    </row>
    <row r="31" spans="2:15" x14ac:dyDescent="0.25">
      <c r="B31" s="107">
        <f>'Q3 Base'!B27</f>
        <v>11</v>
      </c>
      <c r="C31" s="107">
        <f>'Q3 Base'!J27</f>
        <v>1.7909999999999999E-2</v>
      </c>
      <c r="D31" s="107">
        <f t="shared" si="0"/>
        <v>0.82261535138401409</v>
      </c>
      <c r="E31" s="111"/>
      <c r="F31" s="111">
        <f t="shared" si="2"/>
        <v>0</v>
      </c>
      <c r="G31" s="111">
        <f t="shared" si="3"/>
        <v>0</v>
      </c>
      <c r="H31" s="112">
        <f t="shared" si="12"/>
        <v>5.0000000000000001E-3</v>
      </c>
      <c r="I31" s="107">
        <f t="shared" si="4"/>
        <v>0.77945012788151713</v>
      </c>
      <c r="J31" s="111">
        <v>0</v>
      </c>
      <c r="K31" s="111">
        <f t="shared" si="5"/>
        <v>0</v>
      </c>
      <c r="L31" s="111">
        <f t="shared" si="6"/>
        <v>0</v>
      </c>
      <c r="M31" s="111">
        <f t="shared" si="7"/>
        <v>0.625</v>
      </c>
      <c r="N31" s="111">
        <f t="shared" si="8"/>
        <v>0.48715632992594821</v>
      </c>
      <c r="O31" s="111">
        <f t="shared" si="9"/>
        <v>5.3587196291854307</v>
      </c>
    </row>
    <row r="32" spans="2:15" x14ac:dyDescent="0.25">
      <c r="B32" s="107">
        <f>'Q3 Base'!B28</f>
        <v>11.5</v>
      </c>
      <c r="C32" s="107">
        <f>'Q3 Base'!J28</f>
        <v>1.7930000000000001E-2</v>
      </c>
      <c r="D32" s="107">
        <f t="shared" si="0"/>
        <v>0.81516212016223266</v>
      </c>
      <c r="E32" s="111"/>
      <c r="F32" s="111">
        <f t="shared" si="2"/>
        <v>0</v>
      </c>
      <c r="G32" s="111">
        <f t="shared" si="3"/>
        <v>0</v>
      </c>
      <c r="H32" s="112">
        <f t="shared" si="12"/>
        <v>5.0000000000000001E-3</v>
      </c>
      <c r="I32" s="107">
        <f t="shared" si="4"/>
        <v>0.77049880747277777</v>
      </c>
      <c r="J32" s="111">
        <v>0</v>
      </c>
      <c r="K32" s="111">
        <f t="shared" si="5"/>
        <v>0</v>
      </c>
      <c r="L32" s="111">
        <f t="shared" si="6"/>
        <v>0</v>
      </c>
      <c r="M32" s="111">
        <f t="shared" si="7"/>
        <v>0.625</v>
      </c>
      <c r="N32" s="111">
        <f t="shared" si="8"/>
        <v>0.48156175467048612</v>
      </c>
      <c r="O32" s="111">
        <f t="shared" si="9"/>
        <v>5.5379601787105903</v>
      </c>
    </row>
    <row r="33" spans="2:15" x14ac:dyDescent="0.25">
      <c r="B33" s="107">
        <f>'Q3 Base'!B29</f>
        <v>12</v>
      </c>
      <c r="C33" s="107">
        <f>'Q3 Base'!J29</f>
        <v>1.814E-2</v>
      </c>
      <c r="D33" s="107">
        <f t="shared" si="0"/>
        <v>0.80595352553231181</v>
      </c>
      <c r="E33" s="111"/>
      <c r="F33" s="111">
        <f t="shared" si="2"/>
        <v>0</v>
      </c>
      <c r="G33" s="111">
        <f t="shared" si="3"/>
        <v>0</v>
      </c>
      <c r="H33" s="112">
        <f t="shared" si="12"/>
        <v>5.0000000000000001E-3</v>
      </c>
      <c r="I33" s="107">
        <f t="shared" si="4"/>
        <v>0.7599398755028629</v>
      </c>
      <c r="J33" s="111">
        <v>0</v>
      </c>
      <c r="K33" s="111">
        <f t="shared" si="5"/>
        <v>0</v>
      </c>
      <c r="L33" s="111">
        <f t="shared" si="6"/>
        <v>0</v>
      </c>
      <c r="M33" s="111">
        <f t="shared" si="7"/>
        <v>0.625</v>
      </c>
      <c r="N33" s="111">
        <f t="shared" si="8"/>
        <v>0.4749624221892893</v>
      </c>
      <c r="O33" s="111">
        <f t="shared" si="9"/>
        <v>5.6995490662714712</v>
      </c>
    </row>
    <row r="34" spans="2:15" x14ac:dyDescent="0.25">
      <c r="B34" s="107">
        <f>'Q3 Base'!B30</f>
        <v>12.5</v>
      </c>
      <c r="C34" s="107">
        <f>'Q3 Base'!J30</f>
        <v>1.8350000000000002E-2</v>
      </c>
      <c r="D34" s="107">
        <f t="shared" si="0"/>
        <v>0.79668502391394569</v>
      </c>
      <c r="E34" s="111"/>
      <c r="F34" s="111">
        <f t="shared" si="2"/>
        <v>0</v>
      </c>
      <c r="G34" s="111">
        <f t="shared" si="3"/>
        <v>0</v>
      </c>
      <c r="H34" s="112">
        <f t="shared" si="12"/>
        <v>5.0000000000000001E-3</v>
      </c>
      <c r="I34" s="107">
        <f t="shared" si="4"/>
        <v>0.74937219746177319</v>
      </c>
      <c r="J34" s="111">
        <v>0</v>
      </c>
      <c r="K34" s="111">
        <f t="shared" si="5"/>
        <v>0</v>
      </c>
      <c r="L34" s="111">
        <f t="shared" si="6"/>
        <v>0</v>
      </c>
      <c r="M34" s="111">
        <f t="shared" si="7"/>
        <v>0.625</v>
      </c>
      <c r="N34" s="111">
        <f t="shared" si="8"/>
        <v>0.46835762341360826</v>
      </c>
      <c r="O34" s="111">
        <f t="shared" si="9"/>
        <v>5.8544702926701033</v>
      </c>
    </row>
    <row r="35" spans="2:15" x14ac:dyDescent="0.25">
      <c r="B35" s="107">
        <f>'Q3 Base'!B31</f>
        <v>13</v>
      </c>
      <c r="C35" s="107">
        <f>'Q3 Base'!J31</f>
        <v>1.8329999999999999E-2</v>
      </c>
      <c r="D35" s="107">
        <f t="shared" si="0"/>
        <v>0.78967611534684101</v>
      </c>
      <c r="E35" s="111"/>
      <c r="F35" s="111">
        <f t="shared" si="2"/>
        <v>0</v>
      </c>
      <c r="G35" s="111">
        <f t="shared" si="3"/>
        <v>0</v>
      </c>
      <c r="H35" s="112">
        <f t="shared" si="12"/>
        <v>5.0000000000000001E-3</v>
      </c>
      <c r="I35" s="107">
        <f t="shared" si="4"/>
        <v>0.7409618031228612</v>
      </c>
      <c r="J35" s="111">
        <v>0</v>
      </c>
      <c r="K35" s="111">
        <f t="shared" si="5"/>
        <v>0</v>
      </c>
      <c r="L35" s="111">
        <f t="shared" si="6"/>
        <v>0</v>
      </c>
      <c r="M35" s="111">
        <f t="shared" si="7"/>
        <v>0.625</v>
      </c>
      <c r="N35" s="111">
        <f t="shared" si="8"/>
        <v>0.46310112695178823</v>
      </c>
      <c r="O35" s="111">
        <f t="shared" si="9"/>
        <v>6.0203146503732468</v>
      </c>
    </row>
    <row r="36" spans="2:15" x14ac:dyDescent="0.25">
      <c r="B36" s="107">
        <f>'Q3 Base'!B32</f>
        <v>13.5</v>
      </c>
      <c r="C36" s="107">
        <f>'Q3 Base'!J32</f>
        <v>1.8280000000000001E-2</v>
      </c>
      <c r="D36" s="107">
        <f t="shared" si="0"/>
        <v>0.78305562296902942</v>
      </c>
      <c r="E36" s="111"/>
      <c r="F36" s="111">
        <f t="shared" si="2"/>
        <v>0</v>
      </c>
      <c r="G36" s="111">
        <f t="shared" si="3"/>
        <v>0</v>
      </c>
      <c r="H36" s="112">
        <f t="shared" si="12"/>
        <v>5.0000000000000001E-3</v>
      </c>
      <c r="I36" s="107">
        <f t="shared" si="4"/>
        <v>0.73295015324123569</v>
      </c>
      <c r="J36" s="111">
        <v>0</v>
      </c>
      <c r="K36" s="111">
        <f t="shared" si="5"/>
        <v>0</v>
      </c>
      <c r="L36" s="111">
        <f t="shared" si="6"/>
        <v>0</v>
      </c>
      <c r="M36" s="111">
        <f t="shared" si="7"/>
        <v>0.625</v>
      </c>
      <c r="N36" s="111">
        <f t="shared" si="8"/>
        <v>0.45809384577577228</v>
      </c>
      <c r="O36" s="111">
        <f t="shared" si="9"/>
        <v>6.1842669179729262</v>
      </c>
    </row>
    <row r="37" spans="2:15" x14ac:dyDescent="0.25">
      <c r="B37" s="107">
        <f>'Q3 Base'!B33</f>
        <v>14</v>
      </c>
      <c r="C37" s="107">
        <f>'Q3 Base'!J33</f>
        <v>1.8190000000000001E-2</v>
      </c>
      <c r="D37" s="107">
        <f t="shared" si="0"/>
        <v>0.77695598577320335</v>
      </c>
      <c r="E37" s="111"/>
      <c r="F37" s="111">
        <f t="shared" si="2"/>
        <v>0</v>
      </c>
      <c r="G37" s="111">
        <f t="shared" si="3"/>
        <v>0</v>
      </c>
      <c r="H37" s="112">
        <f t="shared" si="12"/>
        <v>5.0000000000000001E-3</v>
      </c>
      <c r="I37" s="107">
        <f t="shared" si="4"/>
        <v>0.72545751234870692</v>
      </c>
      <c r="J37" s="111">
        <v>0</v>
      </c>
      <c r="K37" s="111">
        <f t="shared" si="5"/>
        <v>0</v>
      </c>
      <c r="L37" s="111">
        <f t="shared" si="6"/>
        <v>0</v>
      </c>
      <c r="M37" s="111">
        <f t="shared" si="7"/>
        <v>0.625</v>
      </c>
      <c r="N37" s="111">
        <f t="shared" si="8"/>
        <v>0.45341094521794184</v>
      </c>
      <c r="O37" s="111">
        <f t="shared" si="9"/>
        <v>6.3477532330511854</v>
      </c>
    </row>
    <row r="38" spans="2:15" x14ac:dyDescent="0.25">
      <c r="B38" s="107">
        <f>'Q3 Base'!B34</f>
        <v>14.5</v>
      </c>
      <c r="C38" s="107">
        <f>'Q3 Base'!J34</f>
        <v>1.8100000000000002E-2</v>
      </c>
      <c r="D38" s="107">
        <f t="shared" si="0"/>
        <v>0.77097209109088094</v>
      </c>
      <c r="E38" s="111"/>
      <c r="F38" s="111">
        <f t="shared" si="2"/>
        <v>0</v>
      </c>
      <c r="G38" s="111">
        <f t="shared" si="3"/>
        <v>0</v>
      </c>
      <c r="H38" s="112">
        <f t="shared" si="12"/>
        <v>5.0000000000000001E-3</v>
      </c>
      <c r="I38" s="107">
        <f t="shared" si="4"/>
        <v>0.71810470520472924</v>
      </c>
      <c r="J38" s="111">
        <v>0</v>
      </c>
      <c r="K38" s="111">
        <f t="shared" si="5"/>
        <v>0</v>
      </c>
      <c r="L38" s="111">
        <f t="shared" si="6"/>
        <v>0</v>
      </c>
      <c r="M38" s="111">
        <f t="shared" si="7"/>
        <v>0.625</v>
      </c>
      <c r="N38" s="111">
        <f t="shared" si="8"/>
        <v>0.44881544075295576</v>
      </c>
      <c r="O38" s="111">
        <f t="shared" si="9"/>
        <v>6.5078238909178587</v>
      </c>
    </row>
    <row r="39" spans="2:15" x14ac:dyDescent="0.25">
      <c r="B39" s="107">
        <f>'Q3 Base'!B35</f>
        <v>15</v>
      </c>
      <c r="C39" s="107">
        <f>'Q3 Base'!J35</f>
        <v>1.8010000000000002E-2</v>
      </c>
      <c r="D39" s="107">
        <f t="shared" si="0"/>
        <v>0.76510200135303652</v>
      </c>
      <c r="E39" s="111"/>
      <c r="F39" s="111">
        <f t="shared" si="2"/>
        <v>0</v>
      </c>
      <c r="G39" s="111">
        <f t="shared" si="3"/>
        <v>0</v>
      </c>
      <c r="H39" s="112">
        <f t="shared" si="12"/>
        <v>5.0000000000000001E-3</v>
      </c>
      <c r="I39" s="107">
        <f t="shared" si="4"/>
        <v>0.71088903420683325</v>
      </c>
      <c r="J39" s="111">
        <v>0</v>
      </c>
      <c r="K39" s="111">
        <f t="shared" si="5"/>
        <v>0</v>
      </c>
      <c r="L39" s="111">
        <f t="shared" si="6"/>
        <v>0</v>
      </c>
      <c r="M39" s="111">
        <f>M$6*M$5/2 +100</f>
        <v>100.625</v>
      </c>
      <c r="N39" s="111">
        <f t="shared" si="8"/>
        <v>71.5332090670626</v>
      </c>
      <c r="O39" s="111">
        <f t="shared" si="9"/>
        <v>1072.9981360059389</v>
      </c>
    </row>
    <row r="41" spans="2:15" x14ac:dyDescent="0.25">
      <c r="F41" s="128">
        <f>SUM(F10:F39)</f>
        <v>99.745672708136311</v>
      </c>
      <c r="G41" s="128">
        <f>SUM(G10:G39)</f>
        <v>918.9871292352185</v>
      </c>
      <c r="K41" s="128">
        <f>SUM(K10:K39)</f>
        <v>83.717269682684673</v>
      </c>
      <c r="L41" s="128">
        <f>SUM(L10:L39)</f>
        <v>837.17269682684673</v>
      </c>
      <c r="N41" s="128">
        <f>SUM(N10:N39)</f>
        <v>86.916435305607678</v>
      </c>
      <c r="O41" s="128">
        <f>SUM(O10:O39)</f>
        <v>1182.1090190716011</v>
      </c>
    </row>
  </sheetData>
  <mergeCells count="3">
    <mergeCell ref="J4:L4"/>
    <mergeCell ref="E4:G4"/>
    <mergeCell ref="M4:O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7"/>
  <sheetViews>
    <sheetView workbookViewId="0"/>
  </sheetViews>
  <sheetFormatPr defaultRowHeight="15" x14ac:dyDescent="0.25"/>
  <cols>
    <col min="1" max="1" width="4.140625" customWidth="1"/>
    <col min="2" max="2" width="9.140625" style="5"/>
  </cols>
  <sheetData>
    <row r="1" spans="1:4" ht="15.75" thickBot="1" x14ac:dyDescent="0.3"/>
    <row r="2" spans="1:4" s="100" customFormat="1" ht="26.25" thickBot="1" x14ac:dyDescent="0.4">
      <c r="A2" s="99" t="s">
        <v>157</v>
      </c>
      <c r="B2" s="120"/>
    </row>
    <row r="5" spans="1:4" x14ac:dyDescent="0.25">
      <c r="B5" s="118" t="s">
        <v>3</v>
      </c>
      <c r="C5" t="s">
        <v>119</v>
      </c>
    </row>
    <row r="6" spans="1:4" x14ac:dyDescent="0.25">
      <c r="B6" s="118"/>
    </row>
    <row r="7" spans="1:4" x14ac:dyDescent="0.25">
      <c r="B7" s="118"/>
      <c r="C7" t="s">
        <v>120</v>
      </c>
    </row>
    <row r="8" spans="1:4" x14ac:dyDescent="0.25">
      <c r="B8" s="118" t="s">
        <v>3</v>
      </c>
      <c r="D8" t="s">
        <v>121</v>
      </c>
    </row>
    <row r="9" spans="1:4" x14ac:dyDescent="0.25">
      <c r="B9" s="118" t="s">
        <v>3</v>
      </c>
      <c r="D9" t="s">
        <v>122</v>
      </c>
    </row>
    <row r="10" spans="1:4" x14ac:dyDescent="0.25">
      <c r="B10" s="118" t="s">
        <v>3</v>
      </c>
      <c r="D10" t="s">
        <v>123</v>
      </c>
    </row>
    <row r="11" spans="1:4" x14ac:dyDescent="0.25">
      <c r="B11" s="118" t="s">
        <v>3</v>
      </c>
      <c r="D11" t="s">
        <v>124</v>
      </c>
    </row>
    <row r="12" spans="1:4" x14ac:dyDescent="0.25">
      <c r="B12" s="118" t="s">
        <v>3</v>
      </c>
      <c r="D12" t="s">
        <v>125</v>
      </c>
    </row>
    <row r="13" spans="1:4" x14ac:dyDescent="0.25">
      <c r="B13" s="118"/>
    </row>
    <row r="14" spans="1:4" x14ac:dyDescent="0.25">
      <c r="B14" s="118" t="s">
        <v>3</v>
      </c>
      <c r="C14" t="s">
        <v>194</v>
      </c>
    </row>
    <row r="15" spans="1:4" x14ac:dyDescent="0.25">
      <c r="B15" s="118"/>
    </row>
    <row r="16" spans="1:4" x14ac:dyDescent="0.25">
      <c r="B16" s="118" t="s">
        <v>193</v>
      </c>
    </row>
    <row r="17" spans="2:2" x14ac:dyDescent="0.25">
      <c r="B17" s="118"/>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9"/>
  <sheetViews>
    <sheetView workbookViewId="0">
      <selection activeCell="A3" sqref="A3"/>
    </sheetView>
  </sheetViews>
  <sheetFormatPr defaultRowHeight="15" x14ac:dyDescent="0.25"/>
  <cols>
    <col min="1" max="1" width="3.42578125" customWidth="1"/>
  </cols>
  <sheetData>
    <row r="1" spans="1:6" ht="15.75" thickBot="1" x14ac:dyDescent="0.3"/>
    <row r="2" spans="1:6" s="100" customFormat="1" ht="26.25" thickBot="1" x14ac:dyDescent="0.4">
      <c r="A2" s="99" t="s">
        <v>158</v>
      </c>
    </row>
    <row r="5" spans="1:6" x14ac:dyDescent="0.25">
      <c r="B5" t="s">
        <v>87</v>
      </c>
      <c r="C5" t="s">
        <v>126</v>
      </c>
      <c r="D5" s="69">
        <f>'Q3 (i)'!S10</f>
        <v>9.3285488676043133</v>
      </c>
      <c r="E5" t="s">
        <v>101</v>
      </c>
    </row>
    <row r="6" spans="1:6" x14ac:dyDescent="0.25">
      <c r="C6" t="s">
        <v>127</v>
      </c>
      <c r="D6" s="69">
        <f>'Q3 (i)'!S11</f>
        <v>12.729090286909384</v>
      </c>
      <c r="E6" t="s">
        <v>101</v>
      </c>
    </row>
    <row r="7" spans="1:6" x14ac:dyDescent="0.25">
      <c r="C7" t="s">
        <v>128</v>
      </c>
      <c r="D7" s="69">
        <f>'Q3 (i)'!S12</f>
        <v>20.15463618454535</v>
      </c>
      <c r="E7" t="s">
        <v>101</v>
      </c>
    </row>
    <row r="9" spans="1:6" x14ac:dyDescent="0.25">
      <c r="B9" t="s">
        <v>88</v>
      </c>
      <c r="C9" t="s">
        <v>184</v>
      </c>
    </row>
    <row r="11" spans="1:6" x14ac:dyDescent="0.25">
      <c r="B11" t="s">
        <v>89</v>
      </c>
      <c r="C11" t="s">
        <v>115</v>
      </c>
      <c r="E11">
        <f>'Q3 (iii)'!O10</f>
        <v>83.717269682684673</v>
      </c>
    </row>
    <row r="12" spans="1:6" x14ac:dyDescent="0.25">
      <c r="C12" t="s">
        <v>116</v>
      </c>
      <c r="E12">
        <f>'Q3 (iii)'!O11</f>
        <v>86.916435305607678</v>
      </c>
    </row>
    <row r="13" spans="1:6" x14ac:dyDescent="0.25">
      <c r="C13" t="s">
        <v>134</v>
      </c>
    </row>
    <row r="15" spans="1:6" x14ac:dyDescent="0.25">
      <c r="B15" t="s">
        <v>91</v>
      </c>
      <c r="C15" t="s">
        <v>197</v>
      </c>
      <c r="E15">
        <f>'Q3 (iv)'!T10</f>
        <v>9.2133032369659507</v>
      </c>
      <c r="F15" t="s">
        <v>101</v>
      </c>
    </row>
    <row r="16" spans="1:6" x14ac:dyDescent="0.25">
      <c r="C16" t="s">
        <v>117</v>
      </c>
      <c r="E16">
        <f>'Q3 (iv)'!T11</f>
        <v>10</v>
      </c>
      <c r="F16" t="s">
        <v>101</v>
      </c>
    </row>
    <row r="17" spans="2:6" x14ac:dyDescent="0.25">
      <c r="C17" t="s">
        <v>118</v>
      </c>
      <c r="E17">
        <f>'Q3 (iv)'!T12</f>
        <v>13.600523478846972</v>
      </c>
      <c r="F17" t="s">
        <v>101</v>
      </c>
    </row>
    <row r="19" spans="2:6" x14ac:dyDescent="0.25">
      <c r="B19" t="s">
        <v>92</v>
      </c>
      <c r="C19"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topLeftCell="A7" workbookViewId="0">
      <selection activeCell="E4" sqref="E4:H7"/>
    </sheetView>
  </sheetViews>
  <sheetFormatPr defaultRowHeight="15" x14ac:dyDescent="0.25"/>
  <cols>
    <col min="1" max="1" width="3.42578125" customWidth="1"/>
    <col min="2" max="2" width="11.42578125" bestFit="1" customWidth="1"/>
    <col min="3" max="3" width="10.5703125" bestFit="1" customWidth="1"/>
    <col min="4" max="4" width="12.28515625" bestFit="1" customWidth="1"/>
    <col min="5" max="5" width="15.7109375" bestFit="1" customWidth="1"/>
    <col min="6" max="6" width="12.28515625" bestFit="1" customWidth="1"/>
    <col min="8" max="8" width="14.28515625" bestFit="1" customWidth="1"/>
  </cols>
  <sheetData>
    <row r="1" spans="1:10" ht="15.75" thickBot="1" x14ac:dyDescent="0.3"/>
    <row r="2" spans="1:10" s="100" customFormat="1" ht="26.25" thickBot="1" x14ac:dyDescent="0.4">
      <c r="A2" s="99" t="s">
        <v>144</v>
      </c>
    </row>
    <row r="4" spans="1:10" x14ac:dyDescent="0.25">
      <c r="A4" t="s">
        <v>87</v>
      </c>
      <c r="B4" s="47" t="s">
        <v>56</v>
      </c>
      <c r="C4" s="48">
        <v>4.4999999999999998E-2</v>
      </c>
    </row>
    <row r="5" spans="1:10" x14ac:dyDescent="0.25">
      <c r="B5" s="96" t="s">
        <v>57</v>
      </c>
      <c r="C5" s="138">
        <f>LN(1+C4)</f>
        <v>4.401688541677426E-2</v>
      </c>
      <c r="D5" s="7" t="s">
        <v>2</v>
      </c>
      <c r="E5" s="47"/>
      <c r="F5" s="138"/>
    </row>
    <row r="6" spans="1:10" x14ac:dyDescent="0.25">
      <c r="B6" s="96" t="s">
        <v>58</v>
      </c>
      <c r="C6" s="138">
        <f>C4/(1+C4)</f>
        <v>4.3062200956937802E-2</v>
      </c>
      <c r="D6" s="7"/>
      <c r="E6" s="47"/>
      <c r="G6" s="47"/>
      <c r="H6" s="14"/>
    </row>
    <row r="7" spans="1:10" ht="17.25" x14ac:dyDescent="0.25">
      <c r="B7" s="97" t="s">
        <v>59</v>
      </c>
      <c r="C7" s="138">
        <f>12-(1-C6)^(1/12)*12</f>
        <v>4.3936255440728544E-2</v>
      </c>
      <c r="D7" s="7" t="s">
        <v>3</v>
      </c>
      <c r="E7" s="47"/>
    </row>
    <row r="8" spans="1:10" ht="17.25" x14ac:dyDescent="0.25">
      <c r="B8" s="96" t="s">
        <v>60</v>
      </c>
      <c r="C8" s="50">
        <f>C6/C7</f>
        <v>0.98010630457641368</v>
      </c>
      <c r="D8" s="7" t="s">
        <v>2</v>
      </c>
    </row>
    <row r="9" spans="1:10" x14ac:dyDescent="0.25">
      <c r="B9" s="96" t="s">
        <v>61</v>
      </c>
      <c r="C9" s="50">
        <f>C6/C5</f>
        <v>0.9783109492914589</v>
      </c>
      <c r="D9" s="7" t="s">
        <v>2</v>
      </c>
    </row>
    <row r="10" spans="1:10" x14ac:dyDescent="0.25">
      <c r="J10" s="35"/>
    </row>
    <row r="11" spans="1:10" x14ac:dyDescent="0.25">
      <c r="C11">
        <v>50</v>
      </c>
      <c r="D11">
        <v>20000</v>
      </c>
      <c r="J11" s="35"/>
    </row>
    <row r="12" spans="1:10" x14ac:dyDescent="0.25">
      <c r="C12">
        <v>30000</v>
      </c>
      <c r="D12">
        <v>0.15</v>
      </c>
      <c r="E12">
        <v>500</v>
      </c>
      <c r="F12">
        <f>50*12</f>
        <v>600</v>
      </c>
      <c r="J12" s="13"/>
    </row>
    <row r="13" spans="1:10" s="7" customFormat="1" x14ac:dyDescent="0.25">
      <c r="C13" s="7" t="s">
        <v>2</v>
      </c>
      <c r="D13" s="7" t="s">
        <v>170</v>
      </c>
      <c r="E13" s="7" t="s">
        <v>170</v>
      </c>
      <c r="F13" s="7" t="s">
        <v>170</v>
      </c>
      <c r="G13" s="7" t="s">
        <v>2</v>
      </c>
      <c r="H13" s="7" t="s">
        <v>2</v>
      </c>
      <c r="J13" s="13"/>
    </row>
    <row r="14" spans="1:10" x14ac:dyDescent="0.25">
      <c r="B14" s="143" t="s">
        <v>62</v>
      </c>
      <c r="C14" s="143"/>
      <c r="D14" s="143"/>
      <c r="E14" s="143"/>
      <c r="F14" s="143"/>
      <c r="G14" s="143"/>
      <c r="H14" s="143"/>
      <c r="J14" s="13"/>
    </row>
    <row r="15" spans="1:10" ht="45" x14ac:dyDescent="0.25">
      <c r="B15" s="51" t="s">
        <v>27</v>
      </c>
      <c r="C15" s="51" t="s">
        <v>63</v>
      </c>
      <c r="D15" s="52" t="s">
        <v>64</v>
      </c>
      <c r="E15" s="52" t="s">
        <v>65</v>
      </c>
      <c r="F15" s="52" t="s">
        <v>66</v>
      </c>
      <c r="G15" s="52" t="s">
        <v>67</v>
      </c>
      <c r="H15" s="52" t="s">
        <v>68</v>
      </c>
      <c r="J15" s="13"/>
    </row>
    <row r="16" spans="1:10" x14ac:dyDescent="0.25">
      <c r="B16" s="46">
        <v>1</v>
      </c>
      <c r="C16" s="53">
        <f>C12*C11</f>
        <v>1500000</v>
      </c>
      <c r="D16" s="54">
        <f>$D$11*$D$12*$C$9*$C$11*(1.04)^(B16-$B$16)</f>
        <v>146746.64239371885</v>
      </c>
      <c r="E16" s="54">
        <f>($E$12+25*(B16-$B$16))*$C$11/(1+$C$4)</f>
        <v>23923.444976076556</v>
      </c>
      <c r="F16" s="54">
        <f>$F$12*$C$8*$C$11</f>
        <v>29403.189137292411</v>
      </c>
      <c r="G16" s="46">
        <f>(1+$C$4)^($B$16-B16)</f>
        <v>1</v>
      </c>
      <c r="H16" s="55">
        <f>SUM(C16:F16)*G16</f>
        <v>1700073.2765070878</v>
      </c>
      <c r="J16" s="13"/>
    </row>
    <row r="17" spans="2:10" x14ac:dyDescent="0.25">
      <c r="B17" s="46">
        <v>2</v>
      </c>
      <c r="C17" s="46"/>
      <c r="D17" s="54">
        <f>$D$11*$D$12*$C$9*$C$11*(1.04)^(B17-$B$16)</f>
        <v>152616.50808946762</v>
      </c>
      <c r="E17" s="54">
        <f>($E$12+25*(B17-$B$16))*$C$11/(1+$C$4)</f>
        <v>25119.617224880385</v>
      </c>
      <c r="F17" s="54">
        <f>$F$12*$C$8*$C$11</f>
        <v>29403.189137292411</v>
      </c>
      <c r="G17" s="46">
        <f>(1+$C$4)^($B$16-B17)</f>
        <v>0.95693779904306231</v>
      </c>
      <c r="H17" s="55">
        <f>SUM(C17:F17)*G17</f>
        <v>198219.43966664156</v>
      </c>
      <c r="J17" s="13"/>
    </row>
    <row r="18" spans="2:10" x14ac:dyDescent="0.25">
      <c r="B18" s="46">
        <v>3</v>
      </c>
      <c r="C18" s="46"/>
      <c r="D18" s="54">
        <f>$D$11*$D$12*$C$9*$C$11*(1.04)^(B18-$B$16)</f>
        <v>158721.16841304634</v>
      </c>
      <c r="E18" s="54">
        <f>($E$12+25*(B18-$B$16))*$C$11/(1+$C$4)</f>
        <v>26315.789473684214</v>
      </c>
      <c r="F18" s="54">
        <f>$F$12*$C$8*$C$11</f>
        <v>29403.189137292411</v>
      </c>
      <c r="G18" s="46">
        <f>(1+$C$4)^($B$16-B18)</f>
        <v>0.91572995123738021</v>
      </c>
      <c r="H18" s="55">
        <f>SUM(C18:F18)*G18</f>
        <v>196369.26537764521</v>
      </c>
      <c r="J18" s="13"/>
    </row>
    <row r="19" spans="2:10" x14ac:dyDescent="0.25">
      <c r="B19" s="46">
        <v>4</v>
      </c>
      <c r="C19" s="46"/>
      <c r="D19" s="54">
        <f>$D$11*$D$12*$C$9*$C$11*(1.04)^(B19-$B$16)</f>
        <v>165070.01514956818</v>
      </c>
      <c r="E19" s="54">
        <f>($E$12+25*(B19-$B$16))*$C$11/(1+$C$4)</f>
        <v>27511.961722488039</v>
      </c>
      <c r="F19" s="54">
        <f>$F$12*$C$8*$C$11</f>
        <v>29403.189137292411</v>
      </c>
      <c r="G19" s="46">
        <f>(1+$C$4)^($B$16-B19)</f>
        <v>0.87629660405490928</v>
      </c>
      <c r="H19" s="55">
        <f>SUM(C19:F19)*G19</f>
        <v>194524.84712455751</v>
      </c>
      <c r="J19" s="13"/>
    </row>
    <row r="20" spans="2:10" x14ac:dyDescent="0.25">
      <c r="B20" s="46">
        <v>5</v>
      </c>
      <c r="C20" s="46"/>
      <c r="D20" s="54">
        <f>$D$11*$D$12*$C$9*$C$11*(1.04)^(B20-$B$16)</f>
        <v>171672.81575555092</v>
      </c>
      <c r="E20" s="54">
        <f>($E$12+25*(B20-$B$16))*$C$11/(1+$C$4)</f>
        <v>28708.133971291867</v>
      </c>
      <c r="F20" s="54">
        <f>$F$12*$C$8*$C$11</f>
        <v>29403.189137292411</v>
      </c>
      <c r="G20" s="46">
        <f>(1+$C$4)^($B$16-B20)</f>
        <v>0.83856134359321488</v>
      </c>
      <c r="H20" s="55">
        <f>SUM(C20:F20)*G20</f>
        <v>192688.09622231909</v>
      </c>
      <c r="J20" s="13"/>
    </row>
    <row r="21" spans="2:10" x14ac:dyDescent="0.25">
      <c r="G21" s="51" t="s">
        <v>69</v>
      </c>
      <c r="H21" s="55">
        <f>SUM(H16:H20)</f>
        <v>2481874.9248982514</v>
      </c>
      <c r="I21" s="7" t="s">
        <v>2</v>
      </c>
      <c r="J21" s="13"/>
    </row>
    <row r="22" spans="2:10" x14ac:dyDescent="0.25">
      <c r="J22" s="13"/>
    </row>
    <row r="23" spans="2:10" x14ac:dyDescent="0.25">
      <c r="C23">
        <v>45000</v>
      </c>
      <c r="D23">
        <v>0.04</v>
      </c>
      <c r="E23">
        <v>150</v>
      </c>
      <c r="J23" s="13"/>
    </row>
    <row r="24" spans="2:10" s="7" customFormat="1" x14ac:dyDescent="0.25">
      <c r="C24" s="7" t="s">
        <v>2</v>
      </c>
      <c r="D24" s="7" t="s">
        <v>2</v>
      </c>
      <c r="E24" s="7" t="s">
        <v>170</v>
      </c>
      <c r="G24" s="7" t="s">
        <v>2</v>
      </c>
      <c r="J24" s="13"/>
    </row>
    <row r="25" spans="2:10" x14ac:dyDescent="0.25">
      <c r="B25" s="144" t="s">
        <v>70</v>
      </c>
      <c r="C25" s="144"/>
      <c r="D25" s="144"/>
      <c r="E25" s="144"/>
      <c r="F25" s="144"/>
      <c r="G25" s="144"/>
      <c r="H25" s="144"/>
      <c r="J25" s="13"/>
    </row>
    <row r="26" spans="2:10" ht="45" x14ac:dyDescent="0.25">
      <c r="B26" s="51" t="s">
        <v>27</v>
      </c>
      <c r="C26" s="51" t="s">
        <v>63</v>
      </c>
      <c r="D26" s="52" t="s">
        <v>64</v>
      </c>
      <c r="E26" s="52" t="s">
        <v>65</v>
      </c>
      <c r="F26" s="52" t="s">
        <v>66</v>
      </c>
      <c r="G26" s="52" t="s">
        <v>67</v>
      </c>
      <c r="H26" s="52" t="s">
        <v>68</v>
      </c>
      <c r="J26" s="13"/>
    </row>
    <row r="27" spans="2:10" x14ac:dyDescent="0.25">
      <c r="B27" s="46">
        <v>1</v>
      </c>
      <c r="C27" s="53">
        <f>C11*C23</f>
        <v>2250000</v>
      </c>
      <c r="D27" s="54">
        <f>$D$11*$D$23*$C$9*$C$11</f>
        <v>39132.437971658357</v>
      </c>
      <c r="E27" s="54">
        <f>$E$23*$C$11*(1.05)^(B27-$B$27)/(1+$C$4)^0.5</f>
        <v>7336.7398206677772</v>
      </c>
      <c r="F27" s="54">
        <v>0</v>
      </c>
      <c r="G27" s="46">
        <f>(1+$C$4)^($B$16-B27)</f>
        <v>1</v>
      </c>
      <c r="H27" s="55">
        <f>SUM(C27:F27)*G27</f>
        <v>2296469.1777923265</v>
      </c>
      <c r="J27" s="13"/>
    </row>
    <row r="28" spans="2:10" x14ac:dyDescent="0.25">
      <c r="B28" s="46">
        <v>2</v>
      </c>
      <c r="C28" s="46"/>
      <c r="D28" s="54">
        <f>$D$11*$D$23*$C$9*$C$11</f>
        <v>39132.437971658357</v>
      </c>
      <c r="E28" s="54">
        <f>$E$23*$C$11*(1.05)^(B28-$B$27)/(1+$C$4)^0.5</f>
        <v>7703.5768117011658</v>
      </c>
      <c r="F28" s="54">
        <v>0</v>
      </c>
      <c r="G28" s="46">
        <f>(1+$C$4)^($B$16-B28)</f>
        <v>0.95693779904306231</v>
      </c>
      <c r="H28" s="55">
        <f>SUM(C28:F28)*G28</f>
        <v>44819.152902736394</v>
      </c>
      <c r="J28" s="13"/>
    </row>
    <row r="29" spans="2:10" x14ac:dyDescent="0.25">
      <c r="B29" s="46">
        <v>3</v>
      </c>
      <c r="C29" s="46"/>
      <c r="D29" s="54">
        <f>$D$11*$D$23*$C$9*$C$11</f>
        <v>39132.437971658357</v>
      </c>
      <c r="E29" s="54">
        <f>$E$23*$C$11*(1.05)^(B29-$B$27)/(1+$C$4)^0.5</f>
        <v>8088.7556522862242</v>
      </c>
      <c r="F29" s="54">
        <v>0</v>
      </c>
      <c r="G29" s="46">
        <f>(1+$C$4)^($B$16-B29)</f>
        <v>0.91572995123738021</v>
      </c>
      <c r="H29" s="55">
        <f>SUM(C29:F29)*G29</f>
        <v>43241.861334625661</v>
      </c>
      <c r="J29" s="13"/>
    </row>
    <row r="30" spans="2:10" x14ac:dyDescent="0.25">
      <c r="B30" s="46">
        <v>4</v>
      </c>
      <c r="C30" s="46"/>
      <c r="D30" s="54">
        <f>$D$11*$D$23*$C$9*$C$11</f>
        <v>39132.437971658357</v>
      </c>
      <c r="E30" s="54">
        <f>$E$23*$C$11*(1.05)^(B30-$B$27)/(1+$C$4)^0.5</f>
        <v>8493.1934349005369</v>
      </c>
      <c r="F30" s="54">
        <v>0</v>
      </c>
      <c r="G30" s="46">
        <f>(1+$C$4)^($B$16-B30)</f>
        <v>0.87629660405490928</v>
      </c>
      <c r="H30" s="55">
        <f>SUM(C30:F30)*G30</f>
        <v>41734.179067538396</v>
      </c>
      <c r="J30" s="13"/>
    </row>
    <row r="31" spans="2:10" x14ac:dyDescent="0.25">
      <c r="B31" s="46">
        <v>5</v>
      </c>
      <c r="C31" s="46"/>
      <c r="D31" s="54">
        <f>$D$11*$D$23*$C$9*$C$11</f>
        <v>39132.437971658357</v>
      </c>
      <c r="E31" s="54">
        <f>$E$23*$C$11*(1.05)^(B31-$B$27)/(1+$C$4)^0.5</f>
        <v>8917.8531066455616</v>
      </c>
      <c r="F31" s="54">
        <v>0</v>
      </c>
      <c r="G31" s="46">
        <f>(1+$C$4)^($B$16-B31)</f>
        <v>0.83856134359321488</v>
      </c>
      <c r="H31" s="55">
        <f>SUM(C31:F31)*G31</f>
        <v>40293.1166466676</v>
      </c>
      <c r="J31" s="13"/>
    </row>
    <row r="32" spans="2:10" x14ac:dyDescent="0.25">
      <c r="G32" s="51" t="s">
        <v>69</v>
      </c>
      <c r="H32" s="55">
        <f>SUM(H27:H31)</f>
        <v>2466557.4877438946</v>
      </c>
      <c r="I32" s="7" t="s">
        <v>2</v>
      </c>
      <c r="J32" s="13"/>
    </row>
    <row r="33" spans="1:10" x14ac:dyDescent="0.25">
      <c r="J33" s="13"/>
    </row>
    <row r="35" spans="1:10" x14ac:dyDescent="0.25">
      <c r="A35" t="s">
        <v>88</v>
      </c>
      <c r="B35" t="s">
        <v>180</v>
      </c>
    </row>
    <row r="36" spans="1:10" x14ac:dyDescent="0.25">
      <c r="B36" s="14" t="s">
        <v>186</v>
      </c>
      <c r="J36" s="7" t="s">
        <v>3</v>
      </c>
    </row>
    <row r="37" spans="1:10" x14ac:dyDescent="0.25">
      <c r="J37" s="13"/>
    </row>
    <row r="38" spans="1:10" x14ac:dyDescent="0.25">
      <c r="B38" s="14"/>
      <c r="J38" s="13"/>
    </row>
    <row r="39" spans="1:10" x14ac:dyDescent="0.25">
      <c r="J39" s="13"/>
    </row>
    <row r="40" spans="1:10" x14ac:dyDescent="0.25">
      <c r="J40" s="13"/>
    </row>
  </sheetData>
  <mergeCells count="2">
    <mergeCell ref="B14:H14"/>
    <mergeCell ref="B25:H25"/>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workbookViewId="0">
      <selection activeCell="E5" sqref="E5"/>
    </sheetView>
  </sheetViews>
  <sheetFormatPr defaultRowHeight="15" x14ac:dyDescent="0.25"/>
  <cols>
    <col min="1" max="1" width="3.7109375" customWidth="1"/>
    <col min="2" max="2" width="11.42578125" bestFit="1" customWidth="1"/>
    <col min="3" max="3" width="10.5703125" bestFit="1" customWidth="1"/>
    <col min="4" max="4" width="12.28515625" bestFit="1" customWidth="1"/>
    <col min="5" max="5" width="15.7109375" bestFit="1" customWidth="1"/>
    <col min="6" max="6" width="12.28515625" bestFit="1" customWidth="1"/>
    <col min="8" max="8" width="14.28515625" bestFit="1" customWidth="1"/>
  </cols>
  <sheetData>
    <row r="1" spans="1:8" ht="15.75" thickBot="1" x14ac:dyDescent="0.3"/>
    <row r="2" spans="1:8" s="100" customFormat="1" ht="26.25" thickBot="1" x14ac:dyDescent="0.4">
      <c r="A2" s="99" t="s">
        <v>145</v>
      </c>
    </row>
    <row r="4" spans="1:8" x14ac:dyDescent="0.25">
      <c r="B4" s="47" t="s">
        <v>56</v>
      </c>
      <c r="C4" s="48">
        <v>4.4999999999999998E-2</v>
      </c>
      <c r="E4" t="s">
        <v>204</v>
      </c>
    </row>
    <row r="5" spans="1:8" x14ac:dyDescent="0.25">
      <c r="B5" s="47" t="s">
        <v>57</v>
      </c>
      <c r="C5" s="48">
        <f>LN(1+C4)</f>
        <v>4.401688541677426E-2</v>
      </c>
      <c r="D5" s="7"/>
    </row>
    <row r="6" spans="1:8" x14ac:dyDescent="0.25">
      <c r="B6" s="47" t="s">
        <v>58</v>
      </c>
      <c r="C6" s="48">
        <f>C4/(1+C4)</f>
        <v>4.3062200956937802E-2</v>
      </c>
      <c r="D6" s="7"/>
    </row>
    <row r="7" spans="1:8" ht="17.25" x14ac:dyDescent="0.25">
      <c r="B7" s="49" t="s">
        <v>59</v>
      </c>
      <c r="C7" s="48">
        <f>12-(1-C6)^(1/12)*12</f>
        <v>4.3936255440728544E-2</v>
      </c>
      <c r="D7" s="7"/>
    </row>
    <row r="8" spans="1:8" ht="17.25" x14ac:dyDescent="0.25">
      <c r="B8" s="47" t="s">
        <v>60</v>
      </c>
      <c r="C8" s="50">
        <f>C6/C7</f>
        <v>0.98010630457641368</v>
      </c>
      <c r="D8" s="7"/>
    </row>
    <row r="9" spans="1:8" x14ac:dyDescent="0.25">
      <c r="B9" s="47" t="s">
        <v>61</v>
      </c>
      <c r="C9" s="50">
        <f>C6/C5</f>
        <v>0.9783109492914589</v>
      </c>
      <c r="D9" s="7"/>
    </row>
    <row r="11" spans="1:8" x14ac:dyDescent="0.25">
      <c r="C11">
        <v>50</v>
      </c>
      <c r="D11" s="56">
        <v>19440.17700263665</v>
      </c>
      <c r="E11" t="s">
        <v>71</v>
      </c>
      <c r="F11" s="7" t="s">
        <v>2</v>
      </c>
    </row>
    <row r="12" spans="1:8" x14ac:dyDescent="0.25">
      <c r="C12">
        <v>30000</v>
      </c>
      <c r="D12">
        <v>0.15</v>
      </c>
      <c r="E12">
        <v>500</v>
      </c>
      <c r="F12">
        <f>50*12</f>
        <v>600</v>
      </c>
    </row>
    <row r="13" spans="1:8" s="7" customFormat="1" x14ac:dyDescent="0.25"/>
    <row r="14" spans="1:8" x14ac:dyDescent="0.25">
      <c r="B14" s="145" t="s">
        <v>62</v>
      </c>
      <c r="C14" s="145"/>
      <c r="D14" s="145"/>
      <c r="E14" s="145"/>
      <c r="F14" s="145"/>
      <c r="G14" s="145"/>
      <c r="H14" s="145"/>
    </row>
    <row r="15" spans="1:8" ht="45" x14ac:dyDescent="0.25">
      <c r="B15" s="51" t="s">
        <v>27</v>
      </c>
      <c r="C15" s="51" t="s">
        <v>63</v>
      </c>
      <c r="D15" s="52" t="s">
        <v>64</v>
      </c>
      <c r="E15" s="52" t="s">
        <v>65</v>
      </c>
      <c r="F15" s="52" t="s">
        <v>66</v>
      </c>
      <c r="G15" s="52" t="s">
        <v>67</v>
      </c>
      <c r="H15" s="52" t="s">
        <v>68</v>
      </c>
    </row>
    <row r="16" spans="1:8" x14ac:dyDescent="0.25">
      <c r="B16" s="46">
        <v>1</v>
      </c>
      <c r="C16" s="53">
        <f>C12*C11</f>
        <v>1500000</v>
      </c>
      <c r="D16" s="54">
        <f>$D$11*$D$12*$C$9*$C$11*(1.04)^(B16-$B$16)</f>
        <v>142639.03513382585</v>
      </c>
      <c r="E16" s="54">
        <f>($E$12+25*(B16-$B$16))*$C$11/(1+$C$4)</f>
        <v>23923.444976076556</v>
      </c>
      <c r="F16" s="54">
        <f>$F$12*$C$8*$C$11</f>
        <v>29403.189137292411</v>
      </c>
      <c r="G16" s="46">
        <f>(1+$C$4)^($B$16-B16)</f>
        <v>1</v>
      </c>
      <c r="H16" s="55">
        <f>SUM(C16:F16)*G16</f>
        <v>1695965.6692471947</v>
      </c>
    </row>
    <row r="17" spans="2:9" x14ac:dyDescent="0.25">
      <c r="B17" s="46">
        <v>2</v>
      </c>
      <c r="C17" s="46"/>
      <c r="D17" s="54">
        <f>$D$11*$D$12*$C$9*$C$11*(1.04)^(B17-$B$16)</f>
        <v>148344.59653917889</v>
      </c>
      <c r="E17" s="54">
        <f>($E$12+25*(B17-$B$16))*$C$11/(1+$C$4)</f>
        <v>25119.617224880385</v>
      </c>
      <c r="F17" s="54">
        <f>$F$12*$C$8*$C$11</f>
        <v>29403.189137292411</v>
      </c>
      <c r="G17" s="46">
        <f>(1+$C$4)^($B$16-B17)</f>
        <v>0.95693779904306231</v>
      </c>
      <c r="H17" s="55">
        <f>SUM(C17:F17)*G17</f>
        <v>194131.48603000163</v>
      </c>
    </row>
    <row r="18" spans="2:9" x14ac:dyDescent="0.25">
      <c r="B18" s="46">
        <v>3</v>
      </c>
      <c r="C18" s="46"/>
      <c r="D18" s="54">
        <f>$D$11*$D$12*$C$9*$C$11*(1.04)^(B18-$B$16)</f>
        <v>154278.38040074604</v>
      </c>
      <c r="E18" s="54">
        <f>($E$12+25*(B18-$B$16))*$C$11/(1+$C$4)</f>
        <v>26315.789473684214</v>
      </c>
      <c r="F18" s="54">
        <f>$F$12*$C$8*$C$11</f>
        <v>29403.189137292411</v>
      </c>
      <c r="G18" s="46">
        <f>(1+$C$4)^($B$16-B18)</f>
        <v>0.91572995123738021</v>
      </c>
      <c r="H18" s="55">
        <f>SUM(C18:F18)*G18</f>
        <v>192300.87132778342</v>
      </c>
    </row>
    <row r="19" spans="2:9" x14ac:dyDescent="0.25">
      <c r="B19" s="46">
        <v>4</v>
      </c>
      <c r="C19" s="46"/>
      <c r="D19" s="54">
        <f>$D$11*$D$12*$C$9*$C$11*(1.04)^(B19-$B$16)</f>
        <v>160449.5156167759</v>
      </c>
      <c r="E19" s="54">
        <f>($E$12+25*(B19-$B$16))*$C$11/(1+$C$4)</f>
        <v>27511.961722488039</v>
      </c>
      <c r="F19" s="54">
        <f>$F$12*$C$8*$C$11</f>
        <v>29403.189137292411</v>
      </c>
      <c r="G19" s="46">
        <f>(1+$C$4)^($B$16-B19)</f>
        <v>0.87629660405490928</v>
      </c>
      <c r="H19" s="55">
        <f>SUM(C19:F19)*G19</f>
        <v>190475.91907493433</v>
      </c>
    </row>
    <row r="20" spans="2:9" x14ac:dyDescent="0.25">
      <c r="B20" s="46">
        <v>5</v>
      </c>
      <c r="C20" s="46"/>
      <c r="D20" s="54">
        <f>$D$11*$D$12*$C$9*$C$11*(1.04)^(B20-$B$16)</f>
        <v>166867.49624144693</v>
      </c>
      <c r="E20" s="54">
        <f>($E$12+25*(B20-$B$16))*$C$11/(1+$C$4)</f>
        <v>28708.133971291867</v>
      </c>
      <c r="F20" s="54">
        <f>$F$12*$C$8*$C$11</f>
        <v>29403.189137292411</v>
      </c>
      <c r="G20" s="46">
        <f>(1+$C$4)^($B$16-B20)</f>
        <v>0.83856134359321488</v>
      </c>
      <c r="H20" s="55">
        <f>SUM(C20:F20)*G20</f>
        <v>188658.54103417732</v>
      </c>
    </row>
    <row r="21" spans="2:9" x14ac:dyDescent="0.25">
      <c r="G21" s="51" t="s">
        <v>69</v>
      </c>
      <c r="H21" s="55">
        <f>SUM(H16:H20)</f>
        <v>2461532.4867140916</v>
      </c>
      <c r="I21" s="7"/>
    </row>
    <row r="23" spans="2:9" x14ac:dyDescent="0.25">
      <c r="C23">
        <v>45000</v>
      </c>
      <c r="D23">
        <v>0.04</v>
      </c>
      <c r="E23">
        <v>150</v>
      </c>
    </row>
    <row r="24" spans="2:9" s="7" customFormat="1" x14ac:dyDescent="0.25"/>
    <row r="25" spans="2:9" x14ac:dyDescent="0.25">
      <c r="B25" s="145" t="s">
        <v>70</v>
      </c>
      <c r="C25" s="145"/>
      <c r="D25" s="145"/>
      <c r="E25" s="145"/>
      <c r="F25" s="145"/>
      <c r="G25" s="145"/>
      <c r="H25" s="145"/>
    </row>
    <row r="26" spans="2:9" ht="45" x14ac:dyDescent="0.25">
      <c r="B26" s="51" t="s">
        <v>27</v>
      </c>
      <c r="C26" s="51" t="s">
        <v>63</v>
      </c>
      <c r="D26" s="52" t="s">
        <v>64</v>
      </c>
      <c r="E26" s="52" t="s">
        <v>65</v>
      </c>
      <c r="F26" s="52" t="s">
        <v>66</v>
      </c>
      <c r="G26" s="52" t="s">
        <v>67</v>
      </c>
      <c r="H26" s="52" t="s">
        <v>68</v>
      </c>
    </row>
    <row r="27" spans="2:9" x14ac:dyDescent="0.25">
      <c r="B27" s="46">
        <v>1</v>
      </c>
      <c r="C27" s="53">
        <f>C11*C23</f>
        <v>2250000</v>
      </c>
      <c r="D27" s="54">
        <f>$D$11*$D$23*$C$9*$C$11</f>
        <v>38037.0760356869</v>
      </c>
      <c r="E27" s="54">
        <f>$E$23*$C$11*(1.05)^(B27-$B$27)/(1+$C$4)^0.5</f>
        <v>7336.7398206677772</v>
      </c>
      <c r="F27" s="54">
        <v>0</v>
      </c>
      <c r="G27" s="46">
        <f>(1+$C$4)^($B$16-B27)</f>
        <v>1</v>
      </c>
      <c r="H27" s="55">
        <f>SUM(C27:F27)*G27</f>
        <v>2295373.8158563548</v>
      </c>
    </row>
    <row r="28" spans="2:9" x14ac:dyDescent="0.25">
      <c r="B28" s="46">
        <v>2</v>
      </c>
      <c r="C28" s="46"/>
      <c r="D28" s="54">
        <f>$D$11*$D$23*$C$9*$C$11</f>
        <v>38037.0760356869</v>
      </c>
      <c r="E28" s="54">
        <f>$E$23*$C$11*(1.05)^(B28-$B$27)/(1+$C$4)^0.5</f>
        <v>7703.5768117011658</v>
      </c>
      <c r="F28" s="54">
        <v>0</v>
      </c>
      <c r="G28" s="46">
        <f>(1+$C$4)^($B$16-B28)</f>
        <v>0.95693779904306231</v>
      </c>
      <c r="H28" s="55">
        <f>SUM(C28:F28)*G28</f>
        <v>43770.959662572321</v>
      </c>
    </row>
    <row r="29" spans="2:9" x14ac:dyDescent="0.25">
      <c r="B29" s="46">
        <v>3</v>
      </c>
      <c r="C29" s="46"/>
      <c r="D29" s="54">
        <f>$D$11*$D$23*$C$9*$C$11</f>
        <v>38037.0760356869</v>
      </c>
      <c r="E29" s="54">
        <f>$E$23*$C$11*(1.05)^(B29-$B$27)/(1+$C$4)^0.5</f>
        <v>8088.7556522862242</v>
      </c>
      <c r="F29" s="54">
        <v>0</v>
      </c>
      <c r="G29" s="46">
        <f>(1+$C$4)^($B$16-B29)</f>
        <v>0.91572995123738021</v>
      </c>
      <c r="H29" s="55">
        <f>SUM(C29:F29)*G29</f>
        <v>42238.80560241123</v>
      </c>
    </row>
    <row r="30" spans="2:9" x14ac:dyDescent="0.25">
      <c r="B30" s="46">
        <v>4</v>
      </c>
      <c r="C30" s="46"/>
      <c r="D30" s="54">
        <f>$D$11*$D$23*$C$9*$C$11</f>
        <v>38037.0760356869</v>
      </c>
      <c r="E30" s="54">
        <f>$E$23*$C$11*(1.05)^(B30-$B$27)/(1+$C$4)^0.5</f>
        <v>8493.1934349005369</v>
      </c>
      <c r="F30" s="54">
        <v>0</v>
      </c>
      <c r="G30" s="46">
        <f>(1+$C$4)^($B$16-B30)</f>
        <v>0.87629660405490928</v>
      </c>
      <c r="H30" s="55">
        <f>SUM(C30:F30)*G30</f>
        <v>40774.317122835593</v>
      </c>
    </row>
    <row r="31" spans="2:9" x14ac:dyDescent="0.25">
      <c r="B31" s="46">
        <v>5</v>
      </c>
      <c r="C31" s="46"/>
      <c r="D31" s="54">
        <f>$D$11*$D$23*$C$9*$C$11</f>
        <v>38037.0760356869</v>
      </c>
      <c r="E31" s="54">
        <f>$E$23*$C$11*(1.05)^(B31-$B$27)/(1+$C$4)^0.5</f>
        <v>8917.8531066455616</v>
      </c>
      <c r="F31" s="54">
        <v>0</v>
      </c>
      <c r="G31" s="46">
        <f>(1+$C$4)^($B$16-B31)</f>
        <v>0.83856134359321488</v>
      </c>
      <c r="H31" s="55">
        <f>SUM(C31:F31)*G31</f>
        <v>39374.588469918512</v>
      </c>
    </row>
    <row r="32" spans="2:9" x14ac:dyDescent="0.25">
      <c r="G32" s="51" t="s">
        <v>69</v>
      </c>
      <c r="H32" s="55">
        <f>SUM(H27:H31)</f>
        <v>2461532.4867140925</v>
      </c>
      <c r="I32" s="7"/>
    </row>
    <row r="34" spans="7:9" x14ac:dyDescent="0.25">
      <c r="G34" s="57" t="s">
        <v>72</v>
      </c>
      <c r="H34" s="58">
        <f>H32-H21</f>
        <v>0</v>
      </c>
      <c r="I34" s="7" t="s">
        <v>2</v>
      </c>
    </row>
  </sheetData>
  <mergeCells count="2">
    <mergeCell ref="B14:H14"/>
    <mergeCell ref="B25:H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sheetViews>
  <sheetFormatPr defaultRowHeight="15" x14ac:dyDescent="0.25"/>
  <cols>
    <col min="1" max="1" width="4.85546875" customWidth="1"/>
    <col min="2" max="2" width="11.42578125" bestFit="1" customWidth="1"/>
    <col min="3" max="3" width="10.5703125" bestFit="1" customWidth="1"/>
    <col min="4" max="4" width="12.28515625" bestFit="1" customWidth="1"/>
    <col min="5" max="5" width="15.7109375" bestFit="1" customWidth="1"/>
    <col min="6" max="7" width="12.28515625" bestFit="1" customWidth="1"/>
    <col min="9" max="9" width="14.28515625" bestFit="1" customWidth="1"/>
  </cols>
  <sheetData>
    <row r="1" spans="1:9" ht="15.75" thickBot="1" x14ac:dyDescent="0.3"/>
    <row r="2" spans="1:9" s="100" customFormat="1" ht="26.25" thickBot="1" x14ac:dyDescent="0.4">
      <c r="A2" s="99" t="s">
        <v>146</v>
      </c>
    </row>
    <row r="4" spans="1:9" x14ac:dyDescent="0.25">
      <c r="B4" s="47" t="s">
        <v>56</v>
      </c>
      <c r="C4" s="48">
        <v>4.4999999999999998E-2</v>
      </c>
    </row>
    <row r="5" spans="1:9" x14ac:dyDescent="0.25">
      <c r="B5" s="47" t="s">
        <v>57</v>
      </c>
      <c r="C5" s="48">
        <f>LN(1+C4)</f>
        <v>4.401688541677426E-2</v>
      </c>
      <c r="D5" s="7"/>
    </row>
    <row r="6" spans="1:9" x14ac:dyDescent="0.25">
      <c r="B6" s="47" t="s">
        <v>58</v>
      </c>
      <c r="C6" s="48">
        <f>C4/(1+C4)</f>
        <v>4.3062200956937802E-2</v>
      </c>
      <c r="D6" s="7"/>
    </row>
    <row r="7" spans="1:9" ht="17.25" x14ac:dyDescent="0.25">
      <c r="B7" s="49" t="s">
        <v>59</v>
      </c>
      <c r="C7" s="48">
        <f>12-(1-C6)^(1/12)*12</f>
        <v>4.3936255440728544E-2</v>
      </c>
      <c r="D7" s="7"/>
    </row>
    <row r="8" spans="1:9" ht="17.25" x14ac:dyDescent="0.25">
      <c r="B8" s="47" t="s">
        <v>60</v>
      </c>
      <c r="C8" s="50">
        <f>C6/C7</f>
        <v>0.98010630457641368</v>
      </c>
      <c r="D8" s="7"/>
    </row>
    <row r="9" spans="1:9" x14ac:dyDescent="0.25">
      <c r="B9" s="47" t="s">
        <v>61</v>
      </c>
      <c r="C9" s="50">
        <f>C6/C5</f>
        <v>0.9783109492914589</v>
      </c>
      <c r="D9" s="7"/>
    </row>
    <row r="11" spans="1:9" x14ac:dyDescent="0.25">
      <c r="C11">
        <v>50</v>
      </c>
      <c r="D11">
        <v>20000</v>
      </c>
    </row>
    <row r="12" spans="1:9" x14ac:dyDescent="0.25">
      <c r="C12">
        <v>30000</v>
      </c>
      <c r="D12">
        <v>0.15</v>
      </c>
      <c r="E12">
        <v>500</v>
      </c>
      <c r="F12">
        <f>50*12</f>
        <v>600</v>
      </c>
      <c r="G12" s="59">
        <v>0.4</v>
      </c>
    </row>
    <row r="13" spans="1:9" s="7" customFormat="1" x14ac:dyDescent="0.25">
      <c r="G13" s="7" t="s">
        <v>2</v>
      </c>
      <c r="I13" s="7" t="s">
        <v>2</v>
      </c>
    </row>
    <row r="14" spans="1:9" x14ac:dyDescent="0.25">
      <c r="B14" s="145" t="s">
        <v>62</v>
      </c>
      <c r="C14" s="145"/>
      <c r="D14" s="145"/>
      <c r="E14" s="145"/>
      <c r="F14" s="145"/>
      <c r="G14" s="145"/>
      <c r="H14" s="145"/>
      <c r="I14" s="145"/>
    </row>
    <row r="15" spans="1:9" ht="45" x14ac:dyDescent="0.25">
      <c r="B15" s="51" t="s">
        <v>27</v>
      </c>
      <c r="C15" s="51" t="s">
        <v>63</v>
      </c>
      <c r="D15" s="52" t="s">
        <v>64</v>
      </c>
      <c r="E15" s="52" t="s">
        <v>65</v>
      </c>
      <c r="F15" s="52" t="s">
        <v>66</v>
      </c>
      <c r="G15" s="52" t="s">
        <v>73</v>
      </c>
      <c r="H15" s="52" t="s">
        <v>67</v>
      </c>
      <c r="I15" s="52" t="s">
        <v>68</v>
      </c>
    </row>
    <row r="16" spans="1:9" x14ac:dyDescent="0.25">
      <c r="B16" s="46">
        <v>1</v>
      </c>
      <c r="C16" s="53">
        <f>C12*C11</f>
        <v>1500000</v>
      </c>
      <c r="D16" s="54">
        <f>$D$11*$D$12*$C$9*$C$11*(1.04)^(B16-$B$16)</f>
        <v>146746.64239371885</v>
      </c>
      <c r="E16" s="54">
        <f>($E$12+25*(B16-$B$16))*$C$11/(1+$C$4)</f>
        <v>23923.444976076556</v>
      </c>
      <c r="F16" s="54">
        <f>$F$12*$C$8*$C$11</f>
        <v>29403.189137292411</v>
      </c>
      <c r="G16" s="54"/>
      <c r="H16" s="46">
        <f>(1+$C$4)^($B$16-B16)</f>
        <v>1</v>
      </c>
      <c r="I16" s="55">
        <f>SUM(C16:G16)*H16</f>
        <v>1700073.2765070878</v>
      </c>
    </row>
    <row r="17" spans="2:10" x14ac:dyDescent="0.25">
      <c r="B17" s="46">
        <v>2</v>
      </c>
      <c r="C17" s="46"/>
      <c r="D17" s="54">
        <f>$D$11*$D$12*$C$9*$C$11*(1.04)^(B17-$B$16)</f>
        <v>152616.50808946762</v>
      </c>
      <c r="E17" s="54">
        <f>($E$12+25*(B17-$B$16))*$C$11/(1+$C$4)</f>
        <v>25119.617224880385</v>
      </c>
      <c r="F17" s="54">
        <f>$F$12*$C$8*$C$11</f>
        <v>29403.189137292411</v>
      </c>
      <c r="G17" s="54"/>
      <c r="H17" s="46">
        <f>(1+$C$4)^($B$16-B17)</f>
        <v>0.95693779904306231</v>
      </c>
      <c r="I17" s="55">
        <f>SUM(C17:G17)*H17</f>
        <v>198219.43966664156</v>
      </c>
    </row>
    <row r="18" spans="2:10" x14ac:dyDescent="0.25">
      <c r="B18" s="46">
        <v>3</v>
      </c>
      <c r="C18" s="46"/>
      <c r="D18" s="54">
        <f>$D$11*$D$12*$C$9*$C$11*(1.04)^(B18-$B$16)</f>
        <v>158721.16841304634</v>
      </c>
      <c r="E18" s="54">
        <f>($E$12+25*(B18-$B$16))*$C$11/(1+$C$4)</f>
        <v>26315.789473684214</v>
      </c>
      <c r="F18" s="54">
        <f>$F$12*$C$8*$C$11</f>
        <v>29403.189137292411</v>
      </c>
      <c r="G18" s="55"/>
      <c r="H18" s="46">
        <f>(1+$C$4)^($B$16-B18)</f>
        <v>0.91572995123738021</v>
      </c>
      <c r="I18" s="55">
        <f>SUM(C18:G18)*H18</f>
        <v>196369.26537764521</v>
      </c>
    </row>
    <row r="19" spans="2:10" x14ac:dyDescent="0.25">
      <c r="B19" s="46">
        <v>4</v>
      </c>
      <c r="C19" s="46"/>
      <c r="D19" s="54"/>
      <c r="E19" s="54"/>
      <c r="F19" s="54"/>
      <c r="G19" s="55">
        <f>-C11*C12*G12</f>
        <v>-600000</v>
      </c>
      <c r="H19" s="46">
        <f>(1+$C$4)^($B$16-B19)</f>
        <v>0.87629660405490928</v>
      </c>
      <c r="I19" s="55">
        <f>SUM(C19:G19)*H19</f>
        <v>-525777.96243294561</v>
      </c>
    </row>
    <row r="20" spans="2:10" x14ac:dyDescent="0.25">
      <c r="H20" s="60" t="s">
        <v>69</v>
      </c>
      <c r="I20" s="61">
        <f>SUM(I16:I19)</f>
        <v>1568884.0191184289</v>
      </c>
      <c r="J20" s="7" t="s">
        <v>2</v>
      </c>
    </row>
    <row r="22" spans="2:10" x14ac:dyDescent="0.25">
      <c r="C22">
        <v>45000</v>
      </c>
      <c r="D22">
        <v>0.04</v>
      </c>
      <c r="E22">
        <v>150</v>
      </c>
      <c r="G22" s="59">
        <v>0.5</v>
      </c>
    </row>
    <row r="23" spans="2:10" s="7" customFormat="1" x14ac:dyDescent="0.25">
      <c r="G23" s="7" t="s">
        <v>2</v>
      </c>
    </row>
    <row r="24" spans="2:10" x14ac:dyDescent="0.25">
      <c r="B24" s="145" t="s">
        <v>70</v>
      </c>
      <c r="C24" s="145"/>
      <c r="D24" s="145"/>
      <c r="E24" s="145"/>
      <c r="F24" s="145"/>
      <c r="G24" s="145"/>
      <c r="H24" s="145"/>
      <c r="I24" s="145"/>
    </row>
    <row r="25" spans="2:10" ht="45" x14ac:dyDescent="0.25">
      <c r="B25" s="51" t="s">
        <v>27</v>
      </c>
      <c r="C25" s="51" t="s">
        <v>63</v>
      </c>
      <c r="D25" s="52" t="s">
        <v>64</v>
      </c>
      <c r="E25" s="52" t="s">
        <v>65</v>
      </c>
      <c r="F25" s="52" t="s">
        <v>66</v>
      </c>
      <c r="G25" s="52" t="s">
        <v>73</v>
      </c>
      <c r="H25" s="52" t="s">
        <v>67</v>
      </c>
      <c r="I25" s="52" t="s">
        <v>68</v>
      </c>
    </row>
    <row r="26" spans="2:10" x14ac:dyDescent="0.25">
      <c r="B26" s="46">
        <v>1</v>
      </c>
      <c r="C26" s="53">
        <f>C11*C22</f>
        <v>2250000</v>
      </c>
      <c r="D26" s="54">
        <f>$D$11*$D$22*$C$9*$C$11</f>
        <v>39132.437971658357</v>
      </c>
      <c r="E26" s="54">
        <f>$E$22*$C$11*(1.05)^(B26-$B$26)/(1+$C$4)^0.5</f>
        <v>7336.7398206677772</v>
      </c>
      <c r="F26" s="54">
        <v>0</v>
      </c>
      <c r="G26" s="54"/>
      <c r="H26" s="46">
        <f>(1+$C$4)^($B$16-B26)</f>
        <v>1</v>
      </c>
      <c r="I26" s="55">
        <f>SUM(C26:G26)*H26</f>
        <v>2296469.1777923265</v>
      </c>
    </row>
    <row r="27" spans="2:10" x14ac:dyDescent="0.25">
      <c r="B27" s="46">
        <v>2</v>
      </c>
      <c r="C27" s="46"/>
      <c r="D27" s="54">
        <f>$D$11*$D$22*$C$9*$C$11</f>
        <v>39132.437971658357</v>
      </c>
      <c r="E27" s="54">
        <f>$E$22*$C$11*(1.05)^(B27-$B$26)/(1+$C$4)^0.5</f>
        <v>7703.5768117011658</v>
      </c>
      <c r="F27" s="54">
        <v>0</v>
      </c>
      <c r="G27" s="54"/>
      <c r="H27" s="46">
        <f>(1+$C$4)^($B$16-B27)</f>
        <v>0.95693779904306231</v>
      </c>
      <c r="I27" s="55">
        <f>SUM(C27:G27)*H27</f>
        <v>44819.152902736394</v>
      </c>
    </row>
    <row r="28" spans="2:10" x14ac:dyDescent="0.25">
      <c r="B28" s="46">
        <v>3</v>
      </c>
      <c r="C28" s="46"/>
      <c r="D28" s="54">
        <f>$D$11*$D$22*$C$9*$C$11</f>
        <v>39132.437971658357</v>
      </c>
      <c r="E28" s="54">
        <f>$E$22*$C$11*(1.05)^(B28-$B$26)/(1+$C$4)^0.5</f>
        <v>8088.7556522862242</v>
      </c>
      <c r="F28" s="54">
        <v>0</v>
      </c>
      <c r="G28" s="55"/>
      <c r="H28" s="46">
        <f>(1+$C$4)^($B$16-B28)</f>
        <v>0.91572995123738021</v>
      </c>
      <c r="I28" s="55">
        <f>SUM(C28:G28)*H28</f>
        <v>43241.861334625661</v>
      </c>
    </row>
    <row r="29" spans="2:10" x14ac:dyDescent="0.25">
      <c r="B29" s="46">
        <v>4</v>
      </c>
      <c r="C29" s="46"/>
      <c r="D29" s="54"/>
      <c r="E29" s="54"/>
      <c r="F29" s="54"/>
      <c r="G29" s="55">
        <f>-C22*C11*G22</f>
        <v>-1125000</v>
      </c>
      <c r="H29" s="46">
        <f>(1+$C$4)^($B$16-B29)</f>
        <v>0.87629660405490928</v>
      </c>
      <c r="I29" s="55">
        <f>SUM(C29:G29)*H29</f>
        <v>-985833.67956177297</v>
      </c>
    </row>
    <row r="30" spans="2:10" x14ac:dyDescent="0.25">
      <c r="H30" s="51" t="s">
        <v>69</v>
      </c>
      <c r="I30" s="55">
        <f>SUM(I26:I29)</f>
        <v>1398696.5124679157</v>
      </c>
      <c r="J30" s="7" t="s">
        <v>2</v>
      </c>
    </row>
    <row r="32" spans="2:10" x14ac:dyDescent="0.25">
      <c r="I32" s="47" t="s">
        <v>205</v>
      </c>
      <c r="J32" s="7" t="s">
        <v>3</v>
      </c>
    </row>
    <row r="33" spans="9:9" x14ac:dyDescent="0.25">
      <c r="I33" s="47" t="s">
        <v>206</v>
      </c>
    </row>
  </sheetData>
  <mergeCells count="2">
    <mergeCell ref="B14:I14"/>
    <mergeCell ref="B24:I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workbookViewId="0">
      <selection activeCell="A6" sqref="A6:XFD6"/>
    </sheetView>
  </sheetViews>
  <sheetFormatPr defaultRowHeight="15" x14ac:dyDescent="0.25"/>
  <cols>
    <col min="1" max="1" width="3.42578125" customWidth="1"/>
  </cols>
  <sheetData>
    <row r="1" spans="1:2" ht="15.75" thickBot="1" x14ac:dyDescent="0.3"/>
    <row r="2" spans="1:2" s="100" customFormat="1" ht="26.25" thickBot="1" x14ac:dyDescent="0.4">
      <c r="A2" s="99" t="s">
        <v>147</v>
      </c>
    </row>
    <row r="4" spans="1:2" x14ac:dyDescent="0.25">
      <c r="B4" s="102" t="s">
        <v>74</v>
      </c>
    </row>
    <row r="5" spans="1:2" x14ac:dyDescent="0.25">
      <c r="B5" s="102" t="s">
        <v>136</v>
      </c>
    </row>
    <row r="6" spans="1:2" x14ac:dyDescent="0.25">
      <c r="B6" s="102" t="s">
        <v>75</v>
      </c>
    </row>
    <row r="7" spans="1:2" x14ac:dyDescent="0.25">
      <c r="B7" s="102" t="s">
        <v>76</v>
      </c>
    </row>
    <row r="8" spans="1:2" x14ac:dyDescent="0.25">
      <c r="B8" s="102" t="s">
        <v>135</v>
      </c>
    </row>
    <row r="9" spans="1:2" x14ac:dyDescent="0.25">
      <c r="B9" s="102" t="s">
        <v>77</v>
      </c>
    </row>
    <row r="10" spans="1:2" x14ac:dyDescent="0.25">
      <c r="B10" s="102" t="s">
        <v>78</v>
      </c>
    </row>
    <row r="11" spans="1:2" x14ac:dyDescent="0.25">
      <c r="B11" s="102" t="s">
        <v>79</v>
      </c>
    </row>
    <row r="12" spans="1:2" x14ac:dyDescent="0.25">
      <c r="B12" s="102" t="s">
        <v>80</v>
      </c>
    </row>
    <row r="13" spans="1:2" x14ac:dyDescent="0.25">
      <c r="B13" s="102" t="s">
        <v>81</v>
      </c>
    </row>
    <row r="14" spans="1:2" x14ac:dyDescent="0.25">
      <c r="B14" s="102" t="s">
        <v>82</v>
      </c>
    </row>
    <row r="15" spans="1:2" x14ac:dyDescent="0.25">
      <c r="B15" s="102" t="s">
        <v>83</v>
      </c>
    </row>
    <row r="16" spans="1:2" x14ac:dyDescent="0.25">
      <c r="B16" s="102" t="s">
        <v>84</v>
      </c>
    </row>
    <row r="17" spans="2:2" x14ac:dyDescent="0.25">
      <c r="B17" s="102" t="s">
        <v>137</v>
      </c>
    </row>
    <row r="18" spans="2:2" x14ac:dyDescent="0.25">
      <c r="B18" s="102" t="s">
        <v>138</v>
      </c>
    </row>
    <row r="19" spans="2:2" x14ac:dyDescent="0.25">
      <c r="B19" s="102" t="s">
        <v>139</v>
      </c>
    </row>
    <row r="20" spans="2:2" x14ac:dyDescent="0.25">
      <c r="B20" s="102"/>
    </row>
    <row r="21" spans="2:2" x14ac:dyDescent="0.25">
      <c r="B21" s="103" t="s">
        <v>182</v>
      </c>
    </row>
    <row r="22" spans="2:2" x14ac:dyDescent="0.25">
      <c r="B22" s="10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workbookViewId="0">
      <selection activeCell="E9" sqref="E9"/>
    </sheetView>
  </sheetViews>
  <sheetFormatPr defaultRowHeight="15" x14ac:dyDescent="0.25"/>
  <cols>
    <col min="1" max="1" width="3" customWidth="1"/>
    <col min="2" max="2" width="5" customWidth="1"/>
    <col min="3" max="3" width="11.85546875" customWidth="1"/>
    <col min="4" max="4" width="11.28515625" bestFit="1" customWidth="1"/>
  </cols>
  <sheetData>
    <row r="1" spans="1:5" ht="15.75" thickBot="1" x14ac:dyDescent="0.3"/>
    <row r="2" spans="1:5" s="100" customFormat="1" ht="26.25" thickBot="1" x14ac:dyDescent="0.4">
      <c r="A2" s="99" t="s">
        <v>148</v>
      </c>
    </row>
    <row r="4" spans="1:5" s="5" customFormat="1" x14ac:dyDescent="0.25">
      <c r="C4" s="104" t="s">
        <v>85</v>
      </c>
      <c r="D4" s="104" t="s">
        <v>86</v>
      </c>
    </row>
    <row r="5" spans="1:5" x14ac:dyDescent="0.25">
      <c r="B5" t="s">
        <v>87</v>
      </c>
      <c r="C5" s="62">
        <f>'Q1 (i) (ii)'!H21</f>
        <v>2481874.9248982514</v>
      </c>
      <c r="D5" s="62">
        <f>'Q1 (i) (ii)'!H32</f>
        <v>2466557.4877438946</v>
      </c>
    </row>
    <row r="6" spans="1:5" x14ac:dyDescent="0.25">
      <c r="B6" t="s">
        <v>88</v>
      </c>
      <c r="C6" t="s">
        <v>187</v>
      </c>
    </row>
    <row r="7" spans="1:5" x14ac:dyDescent="0.25">
      <c r="B7" t="s">
        <v>89</v>
      </c>
      <c r="C7" s="63">
        <f>'Q1 (iii)'!D11</f>
        <v>19440.17700263665</v>
      </c>
      <c r="D7" t="s">
        <v>90</v>
      </c>
    </row>
    <row r="8" spans="1:5" x14ac:dyDescent="0.25">
      <c r="B8" t="s">
        <v>91</v>
      </c>
      <c r="C8" s="62">
        <f>'Q1 (iv)'!I20</f>
        <v>1568884.0191184289</v>
      </c>
      <c r="D8" s="62">
        <f>'Q1 (iv)'!I30</f>
        <v>1398696.5124679157</v>
      </c>
      <c r="E8" t="s">
        <v>188</v>
      </c>
    </row>
    <row r="9" spans="1:5" x14ac:dyDescent="0.25">
      <c r="B9" t="s">
        <v>92</v>
      </c>
      <c r="C9"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2"/>
  <sheetViews>
    <sheetView tabSelected="1" topLeftCell="A3" workbookViewId="0">
      <selection activeCell="Q12" sqref="Q12"/>
    </sheetView>
  </sheetViews>
  <sheetFormatPr defaultRowHeight="15" x14ac:dyDescent="0.25"/>
  <cols>
    <col min="1" max="1" width="3.5703125" customWidth="1"/>
    <col min="2" max="2" width="36.42578125" customWidth="1"/>
    <col min="3" max="3" width="10.5703125" bestFit="1" customWidth="1"/>
    <col min="4" max="4" width="10.28515625" customWidth="1"/>
    <col min="14" max="14" width="1.7109375" customWidth="1"/>
    <col min="15" max="15" width="18.140625" customWidth="1"/>
    <col min="16" max="16" width="1.7109375" customWidth="1"/>
    <col min="17" max="17" width="17.7109375" customWidth="1"/>
  </cols>
  <sheetData>
    <row r="1" spans="1:17" ht="15.75" thickBot="1" x14ac:dyDescent="0.3"/>
    <row r="2" spans="1:17" s="100" customFormat="1" ht="26.25" thickBot="1" x14ac:dyDescent="0.4">
      <c r="A2" s="99" t="s">
        <v>142</v>
      </c>
    </row>
    <row r="4" spans="1:17" x14ac:dyDescent="0.25">
      <c r="B4" s="1" t="s">
        <v>4</v>
      </c>
    </row>
    <row r="6" spans="1:17" x14ac:dyDescent="0.25">
      <c r="B6" t="s">
        <v>1</v>
      </c>
      <c r="C6" s="80">
        <v>2000</v>
      </c>
      <c r="D6" t="s">
        <v>172</v>
      </c>
    </row>
    <row r="7" spans="1:17" x14ac:dyDescent="0.25">
      <c r="B7" t="s">
        <v>5</v>
      </c>
      <c r="C7" t="s">
        <v>159</v>
      </c>
    </row>
    <row r="8" spans="1:17" x14ac:dyDescent="0.25">
      <c r="B8" t="s">
        <v>6</v>
      </c>
      <c r="C8" t="s">
        <v>160</v>
      </c>
      <c r="M8" s="1"/>
      <c r="O8" s="146" t="s">
        <v>178</v>
      </c>
      <c r="Q8" s="146" t="s">
        <v>179</v>
      </c>
    </row>
    <row r="9" spans="1:17" x14ac:dyDescent="0.25">
      <c r="B9" t="s">
        <v>161</v>
      </c>
      <c r="M9" s="1"/>
      <c r="O9" s="146"/>
      <c r="Q9" s="146"/>
    </row>
    <row r="10" spans="1:17" x14ac:dyDescent="0.25">
      <c r="B10" t="s">
        <v>7</v>
      </c>
      <c r="C10" t="s">
        <v>8</v>
      </c>
    </row>
    <row r="11" spans="1:17" ht="15.75" x14ac:dyDescent="0.25">
      <c r="B11" t="s">
        <v>9</v>
      </c>
      <c r="C11" s="8">
        <v>0.15</v>
      </c>
      <c r="D11" t="s">
        <v>10</v>
      </c>
      <c r="M11" s="98" t="s">
        <v>0</v>
      </c>
      <c r="N11" s="1"/>
      <c r="O11" s="45" t="s">
        <v>212</v>
      </c>
      <c r="P11" s="1"/>
      <c r="Q11" s="45" t="s">
        <v>213</v>
      </c>
    </row>
    <row r="12" spans="1:17" x14ac:dyDescent="0.25">
      <c r="B12" t="s">
        <v>162</v>
      </c>
      <c r="C12" s="95"/>
      <c r="M12" s="2">
        <v>50</v>
      </c>
      <c r="N12" s="3"/>
      <c r="O12" s="76">
        <v>2.3550699999999999E-3</v>
      </c>
      <c r="Q12" s="77">
        <v>0.04</v>
      </c>
    </row>
    <row r="13" spans="1:17" x14ac:dyDescent="0.25">
      <c r="C13" s="5"/>
      <c r="M13" s="2">
        <v>51</v>
      </c>
      <c r="N13" s="3"/>
      <c r="O13" s="75">
        <v>2.6869200000000002E-3</v>
      </c>
      <c r="Q13" s="4">
        <v>0.04</v>
      </c>
    </row>
    <row r="14" spans="1:17" x14ac:dyDescent="0.25">
      <c r="B14" s="1" t="s">
        <v>11</v>
      </c>
      <c r="C14" s="5"/>
      <c r="M14" s="2">
        <v>52</v>
      </c>
      <c r="N14" s="3"/>
      <c r="O14" s="75">
        <v>3.06508E-3</v>
      </c>
      <c r="Q14" s="4">
        <v>0.04</v>
      </c>
    </row>
    <row r="15" spans="1:17" x14ac:dyDescent="0.25">
      <c r="C15" s="5"/>
      <c r="M15" s="2">
        <v>53</v>
      </c>
      <c r="N15" s="3"/>
      <c r="O15" s="75">
        <v>3.4917500000000001E-3</v>
      </c>
      <c r="Q15" s="4">
        <v>0.04</v>
      </c>
    </row>
    <row r="16" spans="1:17" x14ac:dyDescent="0.25">
      <c r="B16" t="s">
        <v>12</v>
      </c>
      <c r="C16" s="9">
        <v>0.7</v>
      </c>
      <c r="D16" t="s">
        <v>173</v>
      </c>
      <c r="G16" s="9">
        <v>1</v>
      </c>
      <c r="H16" t="s">
        <v>174</v>
      </c>
      <c r="M16" s="2">
        <v>54</v>
      </c>
      <c r="N16" s="3"/>
      <c r="O16" s="75">
        <v>3.9735400000000002E-3</v>
      </c>
      <c r="Q16" s="4">
        <v>0.04</v>
      </c>
    </row>
    <row r="17" spans="2:17" x14ac:dyDescent="0.25">
      <c r="B17" t="s">
        <v>13</v>
      </c>
      <c r="C17" s="8">
        <v>1.2E-2</v>
      </c>
      <c r="D17" s="10" t="s">
        <v>14</v>
      </c>
      <c r="M17" s="2">
        <v>55</v>
      </c>
      <c r="N17" s="3"/>
      <c r="O17" s="75">
        <v>4.5170699999999998E-3</v>
      </c>
      <c r="Q17" s="4">
        <v>0.03</v>
      </c>
    </row>
    <row r="18" spans="2:17" x14ac:dyDescent="0.25">
      <c r="B18" t="s">
        <v>15</v>
      </c>
      <c r="C18" s="8">
        <v>0.02</v>
      </c>
      <c r="M18" s="2">
        <v>56</v>
      </c>
      <c r="N18" s="3"/>
      <c r="O18" s="75">
        <v>5.1300599999999997E-3</v>
      </c>
      <c r="Q18" s="4">
        <v>0.03</v>
      </c>
    </row>
    <row r="19" spans="2:17" x14ac:dyDescent="0.25">
      <c r="C19" s="5"/>
      <c r="M19" s="2">
        <v>57</v>
      </c>
      <c r="N19" s="3"/>
      <c r="O19" s="75">
        <v>5.8191199999999997E-3</v>
      </c>
      <c r="Q19" s="4">
        <v>0.03</v>
      </c>
    </row>
    <row r="20" spans="2:17" x14ac:dyDescent="0.25">
      <c r="B20" s="1" t="s">
        <v>185</v>
      </c>
      <c r="M20" s="2">
        <v>58</v>
      </c>
      <c r="N20" s="3"/>
      <c r="O20" s="75">
        <v>6.5930800000000003E-3</v>
      </c>
      <c r="Q20" s="4">
        <v>0.03</v>
      </c>
    </row>
    <row r="21" spans="2:17" x14ac:dyDescent="0.25">
      <c r="M21" s="2">
        <v>59</v>
      </c>
      <c r="N21" s="3"/>
      <c r="O21" s="75">
        <v>7.4618499999999999E-3</v>
      </c>
      <c r="Q21" s="4">
        <v>0.03</v>
      </c>
    </row>
    <row r="22" spans="2:17" x14ac:dyDescent="0.25">
      <c r="B22" t="s">
        <v>176</v>
      </c>
      <c r="C22" t="s">
        <v>140</v>
      </c>
      <c r="M22" s="2">
        <v>60</v>
      </c>
      <c r="N22" s="3"/>
      <c r="O22" s="75">
        <v>8.4342600000000007E-3</v>
      </c>
      <c r="Q22" s="4">
        <v>0</v>
      </c>
    </row>
    <row r="23" spans="2:17" x14ac:dyDescent="0.25">
      <c r="B23" t="s">
        <v>141</v>
      </c>
      <c r="C23" s="8">
        <v>0.03</v>
      </c>
      <c r="D23" t="s">
        <v>16</v>
      </c>
      <c r="M23" s="2">
        <v>61</v>
      </c>
      <c r="N23" s="3"/>
      <c r="O23" s="75">
        <v>9.5224200000000002E-3</v>
      </c>
      <c r="Q23" s="4">
        <v>0</v>
      </c>
    </row>
    <row r="24" spans="2:17" x14ac:dyDescent="0.25">
      <c r="B24" t="s">
        <v>17</v>
      </c>
      <c r="C24" s="8">
        <v>2.5000000000000001E-2</v>
      </c>
      <c r="D24" t="s">
        <v>16</v>
      </c>
      <c r="M24" s="2">
        <v>62</v>
      </c>
      <c r="N24" s="3"/>
      <c r="O24" s="75">
        <v>1.073848E-2</v>
      </c>
      <c r="Q24" s="4">
        <v>0</v>
      </c>
    </row>
    <row r="25" spans="2:17" x14ac:dyDescent="0.25">
      <c r="B25" t="s">
        <v>18</v>
      </c>
      <c r="C25" s="11">
        <v>300</v>
      </c>
      <c r="M25" s="2">
        <v>63</v>
      </c>
      <c r="N25" s="3"/>
      <c r="O25" s="75">
        <v>1.209676E-2</v>
      </c>
      <c r="Q25" s="4">
        <v>0</v>
      </c>
    </row>
    <row r="26" spans="2:17" x14ac:dyDescent="0.25">
      <c r="B26" t="s">
        <v>19</v>
      </c>
      <c r="C26" s="11">
        <v>250</v>
      </c>
      <c r="D26" t="s">
        <v>175</v>
      </c>
      <c r="M26" s="2">
        <v>64</v>
      </c>
      <c r="N26" s="3"/>
      <c r="O26" s="75">
        <v>1.3609390000000001E-2</v>
      </c>
      <c r="Q26" s="4">
        <v>0</v>
      </c>
    </row>
    <row r="27" spans="2:17" x14ac:dyDescent="0.25">
      <c r="B27" t="s">
        <v>20</v>
      </c>
      <c r="C27" s="11">
        <v>400</v>
      </c>
      <c r="D27" t="s">
        <v>21</v>
      </c>
      <c r="M27" s="2">
        <v>65</v>
      </c>
      <c r="N27" s="3"/>
      <c r="O27" s="75">
        <v>1.529291E-2</v>
      </c>
      <c r="Q27" s="4">
        <v>0</v>
      </c>
    </row>
    <row r="28" spans="2:17" x14ac:dyDescent="0.25">
      <c r="B28" t="s">
        <v>177</v>
      </c>
      <c r="C28" s="14" t="s">
        <v>22</v>
      </c>
      <c r="M28" s="2">
        <v>66</v>
      </c>
      <c r="N28" s="3"/>
      <c r="O28" s="75">
        <v>1.7163850000000001E-2</v>
      </c>
      <c r="Q28" s="4"/>
    </row>
    <row r="29" spans="2:17" x14ac:dyDescent="0.25">
      <c r="B29" t="s">
        <v>23</v>
      </c>
      <c r="C29" s="8">
        <v>0.06</v>
      </c>
      <c r="D29" t="s">
        <v>16</v>
      </c>
      <c r="M29" s="2">
        <v>67</v>
      </c>
      <c r="N29" s="3"/>
      <c r="O29" s="75">
        <v>1.9240960000000001E-2</v>
      </c>
      <c r="Q29" s="4"/>
    </row>
    <row r="30" spans="2:17" x14ac:dyDescent="0.25">
      <c r="M30" s="2">
        <v>68</v>
      </c>
      <c r="N30" s="3"/>
      <c r="O30" s="75">
        <v>2.154408E-2</v>
      </c>
      <c r="Q30" s="4"/>
    </row>
    <row r="31" spans="2:17" x14ac:dyDescent="0.25">
      <c r="M31" s="2">
        <v>69</v>
      </c>
      <c r="N31" s="3"/>
      <c r="O31" s="75">
        <v>2.4094170000000002E-2</v>
      </c>
      <c r="Q31" s="4"/>
    </row>
    <row r="32" spans="2:17" x14ac:dyDescent="0.25">
      <c r="M32" s="2">
        <v>70</v>
      </c>
      <c r="N32" s="3"/>
      <c r="O32" s="75">
        <v>2.6913260000000001E-2</v>
      </c>
      <c r="Q32" s="4"/>
    </row>
    <row r="33" spans="13:17" x14ac:dyDescent="0.25">
      <c r="M33" s="2">
        <v>71</v>
      </c>
      <c r="N33" s="3"/>
      <c r="O33" s="75">
        <v>3.0025619999999999E-2</v>
      </c>
      <c r="Q33" s="4"/>
    </row>
    <row r="34" spans="13:17" x14ac:dyDescent="0.25">
      <c r="M34" s="2">
        <v>72</v>
      </c>
      <c r="N34" s="3"/>
      <c r="O34" s="75">
        <v>3.3456600000000003E-2</v>
      </c>
      <c r="Q34" s="4"/>
    </row>
    <row r="35" spans="13:17" x14ac:dyDescent="0.25">
      <c r="M35" s="2">
        <v>73</v>
      </c>
      <c r="N35" s="3"/>
      <c r="O35" s="75">
        <v>3.7233759999999998E-2</v>
      </c>
      <c r="Q35" s="4"/>
    </row>
    <row r="36" spans="13:17" x14ac:dyDescent="0.25">
      <c r="M36" s="2">
        <v>74</v>
      </c>
      <c r="N36" s="3"/>
      <c r="O36" s="75">
        <v>4.1386880000000001E-2</v>
      </c>
      <c r="Q36" s="4"/>
    </row>
    <row r="37" spans="13:17" x14ac:dyDescent="0.25">
      <c r="M37" s="2">
        <v>75</v>
      </c>
      <c r="N37" s="3"/>
      <c r="O37" s="75">
        <v>4.5945720000000002E-2</v>
      </c>
      <c r="Q37" s="4"/>
    </row>
    <row r="38" spans="13:17" x14ac:dyDescent="0.25">
      <c r="M38" s="2">
        <v>76</v>
      </c>
      <c r="N38" s="3"/>
      <c r="O38" s="75">
        <v>5.0942250000000001E-2</v>
      </c>
      <c r="Q38" s="4"/>
    </row>
    <row r="39" spans="13:17" x14ac:dyDescent="0.25">
      <c r="M39" s="2">
        <v>77</v>
      </c>
      <c r="N39" s="3"/>
      <c r="O39" s="75">
        <v>5.641065E-2</v>
      </c>
      <c r="Q39" s="4"/>
    </row>
    <row r="40" spans="13:17" x14ac:dyDescent="0.25">
      <c r="M40" s="2">
        <v>78</v>
      </c>
      <c r="N40" s="3"/>
      <c r="O40" s="75">
        <v>6.238399E-2</v>
      </c>
      <c r="Q40" s="4"/>
    </row>
    <row r="41" spans="13:17" x14ac:dyDescent="0.25">
      <c r="M41" s="2">
        <v>79</v>
      </c>
      <c r="N41" s="3"/>
      <c r="O41" s="75">
        <v>6.8900870000000003E-2</v>
      </c>
      <c r="Q41" s="4"/>
    </row>
    <row r="42" spans="13:17" x14ac:dyDescent="0.25">
      <c r="M42" s="2">
        <v>80</v>
      </c>
      <c r="N42" s="3"/>
      <c r="O42" s="75">
        <v>7.5996560000000005E-2</v>
      </c>
      <c r="Q42" s="4"/>
    </row>
    <row r="43" spans="13:17" x14ac:dyDescent="0.25">
      <c r="M43" s="2">
        <v>81</v>
      </c>
      <c r="N43" s="3"/>
      <c r="O43" s="75">
        <v>8.371075E-2</v>
      </c>
      <c r="Q43" s="4"/>
    </row>
    <row r="44" spans="13:17" x14ac:dyDescent="0.25">
      <c r="M44" s="2">
        <v>82</v>
      </c>
      <c r="N44" s="3"/>
      <c r="O44" s="75">
        <v>9.2082029999999995E-2</v>
      </c>
      <c r="Q44" s="4"/>
    </row>
    <row r="45" spans="13:17" x14ac:dyDescent="0.25">
      <c r="M45" s="2">
        <v>83</v>
      </c>
      <c r="N45" s="3"/>
      <c r="O45" s="75">
        <v>0.10114898999999999</v>
      </c>
      <c r="Q45" s="4"/>
    </row>
    <row r="46" spans="13:17" x14ac:dyDescent="0.25">
      <c r="M46" s="2">
        <v>84</v>
      </c>
      <c r="N46" s="3"/>
      <c r="O46" s="75">
        <v>0.11095022</v>
      </c>
      <c r="Q46" s="4"/>
    </row>
    <row r="47" spans="13:17" x14ac:dyDescent="0.25">
      <c r="M47" s="2">
        <v>85</v>
      </c>
      <c r="N47" s="3"/>
      <c r="O47" s="75">
        <v>0.1215265</v>
      </c>
      <c r="Q47" s="4"/>
    </row>
    <row r="48" spans="13:17" x14ac:dyDescent="0.25">
      <c r="M48" s="2">
        <v>86</v>
      </c>
      <c r="N48" s="3"/>
      <c r="O48" s="75">
        <v>0.13291422</v>
      </c>
      <c r="Q48" s="4"/>
    </row>
    <row r="49" spans="13:17" x14ac:dyDescent="0.25">
      <c r="M49" s="2">
        <v>87</v>
      </c>
      <c r="N49" s="3"/>
      <c r="O49" s="75">
        <v>0.14515086999999999</v>
      </c>
      <c r="Q49" s="4"/>
    </row>
    <row r="50" spans="13:17" x14ac:dyDescent="0.25">
      <c r="M50" s="2">
        <v>88</v>
      </c>
      <c r="N50" s="3"/>
      <c r="O50" s="75">
        <v>0.15827172</v>
      </c>
      <c r="Q50" s="4"/>
    </row>
    <row r="51" spans="13:17" x14ac:dyDescent="0.25">
      <c r="M51" s="2">
        <v>89</v>
      </c>
      <c r="N51" s="3"/>
      <c r="O51" s="75">
        <v>0.17230765000000001</v>
      </c>
      <c r="Q51" s="4"/>
    </row>
    <row r="52" spans="13:17" x14ac:dyDescent="0.25">
      <c r="M52" s="2">
        <v>90</v>
      </c>
      <c r="N52" s="3"/>
      <c r="O52" s="75">
        <v>0.18728732000000001</v>
      </c>
      <c r="Q52" s="4"/>
    </row>
    <row r="53" spans="13:17" x14ac:dyDescent="0.25">
      <c r="M53" s="2">
        <v>91</v>
      </c>
      <c r="N53" s="3"/>
      <c r="O53" s="75">
        <v>0.20323719000000001</v>
      </c>
      <c r="Q53" s="4"/>
    </row>
    <row r="54" spans="13:17" x14ac:dyDescent="0.25">
      <c r="M54" s="2">
        <v>92</v>
      </c>
      <c r="N54" s="3"/>
      <c r="O54" s="75">
        <v>0.22017709999999999</v>
      </c>
      <c r="Q54" s="4"/>
    </row>
    <row r="55" spans="13:17" x14ac:dyDescent="0.25">
      <c r="M55" s="2">
        <v>93</v>
      </c>
      <c r="N55" s="3"/>
      <c r="O55" s="75">
        <v>0.23812029000000001</v>
      </c>
      <c r="Q55" s="4"/>
    </row>
    <row r="56" spans="13:17" x14ac:dyDescent="0.25">
      <c r="M56" s="2">
        <v>94</v>
      </c>
      <c r="N56" s="3"/>
      <c r="O56" s="75">
        <v>0.25707667000000001</v>
      </c>
      <c r="Q56" s="4"/>
    </row>
    <row r="57" spans="13:17" x14ac:dyDescent="0.25">
      <c r="M57" s="2">
        <v>95</v>
      </c>
      <c r="N57" s="3"/>
      <c r="O57" s="75">
        <v>0.27704736000000002</v>
      </c>
      <c r="Q57" s="4"/>
    </row>
    <row r="58" spans="13:17" x14ac:dyDescent="0.25">
      <c r="M58" s="2">
        <v>96</v>
      </c>
      <c r="N58" s="3"/>
      <c r="O58" s="75">
        <v>0.29802351999999999</v>
      </c>
      <c r="Q58" s="4"/>
    </row>
    <row r="59" spans="13:17" x14ac:dyDescent="0.25">
      <c r="M59" s="2">
        <v>97</v>
      </c>
      <c r="N59" s="3"/>
      <c r="O59" s="75">
        <v>0.31999083</v>
      </c>
      <c r="Q59" s="4"/>
    </row>
    <row r="60" spans="13:17" x14ac:dyDescent="0.25">
      <c r="M60" s="2">
        <v>98</v>
      </c>
      <c r="N60" s="3"/>
      <c r="O60" s="75">
        <v>0.34292393999999998</v>
      </c>
      <c r="Q60" s="4"/>
    </row>
    <row r="61" spans="13:17" x14ac:dyDescent="0.25">
      <c r="M61" s="2">
        <v>99</v>
      </c>
      <c r="N61" s="3"/>
      <c r="O61" s="75">
        <v>0.36678644999999999</v>
      </c>
      <c r="Q61" s="4"/>
    </row>
    <row r="62" spans="13:17" x14ac:dyDescent="0.25">
      <c r="M62" s="2">
        <v>100</v>
      </c>
      <c r="N62" s="3"/>
      <c r="O62" s="75">
        <v>0.39153426000000002</v>
      </c>
      <c r="Q62" s="4"/>
    </row>
    <row r="63" spans="13:17" x14ac:dyDescent="0.25">
      <c r="M63" s="2">
        <v>101</v>
      </c>
      <c r="N63" s="3"/>
      <c r="O63" s="75">
        <v>0.41710895999999997</v>
      </c>
      <c r="Q63" s="4"/>
    </row>
    <row r="64" spans="13:17" x14ac:dyDescent="0.25">
      <c r="M64" s="2">
        <v>102</v>
      </c>
      <c r="N64" s="3"/>
      <c r="O64" s="75">
        <v>0.44344327</v>
      </c>
      <c r="Q64" s="4"/>
    </row>
    <row r="65" spans="13:17" x14ac:dyDescent="0.25">
      <c r="M65" s="2">
        <v>103</v>
      </c>
      <c r="N65" s="3"/>
      <c r="O65" s="75">
        <v>0.47045672999999999</v>
      </c>
      <c r="Q65" s="4"/>
    </row>
    <row r="66" spans="13:17" x14ac:dyDescent="0.25">
      <c r="M66" s="2">
        <v>104</v>
      </c>
      <c r="N66" s="3"/>
      <c r="O66" s="75">
        <v>0.49806001999999999</v>
      </c>
      <c r="Q66" s="4"/>
    </row>
    <row r="67" spans="13:17" x14ac:dyDescent="0.25">
      <c r="M67" s="2">
        <v>105</v>
      </c>
      <c r="N67" s="3"/>
      <c r="O67" s="75">
        <v>0.52615281999999997</v>
      </c>
      <c r="Q67" s="4"/>
    </row>
    <row r="68" spans="13:17" x14ac:dyDescent="0.25">
      <c r="M68" s="2">
        <v>106</v>
      </c>
      <c r="N68" s="3"/>
      <c r="O68" s="75">
        <v>0.55462378000000001</v>
      </c>
      <c r="Q68" s="4"/>
    </row>
    <row r="69" spans="13:17" x14ac:dyDescent="0.25">
      <c r="M69" s="2">
        <v>107</v>
      </c>
      <c r="N69" s="3"/>
      <c r="O69" s="75">
        <v>0.58335603000000003</v>
      </c>
      <c r="Q69" s="4"/>
    </row>
    <row r="70" spans="13:17" x14ac:dyDescent="0.25">
      <c r="M70" s="2">
        <v>108</v>
      </c>
      <c r="N70" s="3"/>
      <c r="O70" s="75">
        <v>0.61222058999999995</v>
      </c>
      <c r="Q70" s="4"/>
    </row>
    <row r="71" spans="13:17" x14ac:dyDescent="0.25">
      <c r="M71" s="2">
        <v>109</v>
      </c>
      <c r="N71" s="3"/>
      <c r="O71" s="75">
        <v>0.64108734000000001</v>
      </c>
      <c r="Q71" s="4"/>
    </row>
    <row r="72" spans="13:17" x14ac:dyDescent="0.25">
      <c r="M72" s="2">
        <v>110</v>
      </c>
      <c r="N72" s="3"/>
      <c r="O72" s="75">
        <v>0.66981959999999996</v>
      </c>
      <c r="Q72" s="4"/>
    </row>
    <row r="73" spans="13:17" x14ac:dyDescent="0.25">
      <c r="M73" s="2">
        <v>111</v>
      </c>
      <c r="N73" s="3"/>
      <c r="O73" s="75">
        <v>0.69827843000000001</v>
      </c>
      <c r="Q73" s="4"/>
    </row>
    <row r="74" spans="13:17" x14ac:dyDescent="0.25">
      <c r="M74" s="2">
        <v>112</v>
      </c>
      <c r="N74" s="3"/>
      <c r="O74" s="75">
        <v>0.72632602999999996</v>
      </c>
      <c r="Q74" s="4"/>
    </row>
    <row r="75" spans="13:17" x14ac:dyDescent="0.25">
      <c r="M75" s="2">
        <v>113</v>
      </c>
      <c r="N75" s="3"/>
      <c r="O75" s="75">
        <v>0.75382568999999999</v>
      </c>
      <c r="Q75" s="4"/>
    </row>
    <row r="76" spans="13:17" x14ac:dyDescent="0.25">
      <c r="M76" s="2">
        <v>114</v>
      </c>
      <c r="N76" s="3"/>
      <c r="O76" s="75">
        <v>0.78064730999999998</v>
      </c>
      <c r="Q76" s="4"/>
    </row>
    <row r="77" spans="13:17" x14ac:dyDescent="0.25">
      <c r="M77" s="2">
        <v>115</v>
      </c>
      <c r="N77" s="3"/>
      <c r="O77" s="75">
        <v>0.80666631</v>
      </c>
      <c r="Q77" s="4"/>
    </row>
    <row r="78" spans="13:17" x14ac:dyDescent="0.25">
      <c r="M78" s="2">
        <v>116</v>
      </c>
      <c r="N78" s="3"/>
      <c r="O78" s="75">
        <v>0.83176691999999997</v>
      </c>
      <c r="Q78" s="4"/>
    </row>
    <row r="79" spans="13:17" x14ac:dyDescent="0.25">
      <c r="M79" s="2">
        <v>117</v>
      </c>
      <c r="N79" s="3"/>
      <c r="O79" s="75">
        <v>0.85584442000000005</v>
      </c>
      <c r="Q79" s="4"/>
    </row>
    <row r="80" spans="13:17" x14ac:dyDescent="0.25">
      <c r="M80" s="2">
        <v>118</v>
      </c>
      <c r="N80" s="3"/>
      <c r="O80" s="75">
        <v>0.87880838999999999</v>
      </c>
      <c r="Q80" s="4"/>
    </row>
    <row r="81" spans="13:17" x14ac:dyDescent="0.25">
      <c r="M81" s="2">
        <v>119</v>
      </c>
      <c r="N81" s="3"/>
      <c r="O81" s="75">
        <v>0.90058055999999997</v>
      </c>
      <c r="Q81" s="4"/>
    </row>
    <row r="82" spans="13:17" x14ac:dyDescent="0.25">
      <c r="M82" s="2">
        <v>120</v>
      </c>
      <c r="N82" s="3"/>
      <c r="O82" s="75">
        <v>1</v>
      </c>
      <c r="Q82" s="4"/>
    </row>
  </sheetData>
  <mergeCells count="2">
    <mergeCell ref="O8:O9"/>
    <mergeCell ref="Q8:Q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heetViews>
  <sheetFormatPr defaultRowHeight="15" x14ac:dyDescent="0.25"/>
  <cols>
    <col min="1" max="1" width="3.28515625" style="13" customWidth="1"/>
    <col min="2" max="2" width="9.140625" style="17"/>
    <col min="3" max="4" width="14.42578125" style="13" customWidth="1"/>
    <col min="5" max="5" width="22.85546875" style="13" customWidth="1"/>
    <col min="6" max="6" width="9.140625" style="13"/>
    <col min="7" max="7" width="23.28515625" style="13" customWidth="1"/>
    <col min="8" max="16384" width="9.140625" style="13"/>
  </cols>
  <sheetData>
    <row r="1" spans="1:9" ht="15.75" thickBot="1" x14ac:dyDescent="0.3"/>
    <row r="2" spans="1:9" s="100" customFormat="1" ht="26.25" thickBot="1" x14ac:dyDescent="0.4">
      <c r="A2" s="99" t="s">
        <v>149</v>
      </c>
    </row>
    <row r="6" spans="1:9" s="74" customFormat="1" ht="15.75" thickBot="1" x14ac:dyDescent="0.3">
      <c r="B6" s="73"/>
      <c r="C6" s="7"/>
      <c r="D6" s="7" t="s">
        <v>3</v>
      </c>
      <c r="E6" s="7" t="s">
        <v>2</v>
      </c>
      <c r="F6" s="7" t="s">
        <v>2</v>
      </c>
      <c r="G6" s="7" t="s">
        <v>2</v>
      </c>
    </row>
    <row r="7" spans="1:9" ht="15.75" thickBot="1" x14ac:dyDescent="0.3">
      <c r="C7" s="147" t="s">
        <v>25</v>
      </c>
      <c r="D7" s="148"/>
      <c r="E7" s="148"/>
      <c r="F7" s="148"/>
      <c r="G7" s="149"/>
    </row>
    <row r="8" spans="1:9" s="25" customFormat="1" ht="50.25" customHeight="1" thickBot="1" x14ac:dyDescent="0.3">
      <c r="B8" s="21" t="s">
        <v>27</v>
      </c>
      <c r="C8" s="26" t="s">
        <v>1</v>
      </c>
      <c r="D8" s="27" t="s">
        <v>28</v>
      </c>
      <c r="E8" s="27" t="s">
        <v>29</v>
      </c>
      <c r="F8" s="27" t="s">
        <v>13</v>
      </c>
      <c r="G8" s="28" t="s">
        <v>30</v>
      </c>
    </row>
    <row r="9" spans="1:9" x14ac:dyDescent="0.25">
      <c r="B9" s="43">
        <v>1</v>
      </c>
      <c r="C9" s="84">
        <f>'Q2 Base'!$C$6</f>
        <v>2000</v>
      </c>
      <c r="D9" s="85">
        <f>C9*'Q2 Base'!$C$16*(1-'Q2 Base'!$C$18)</f>
        <v>1372</v>
      </c>
      <c r="E9" s="85">
        <f>D9*(1+'Q2 Base'!$C$23)</f>
        <v>1413.16</v>
      </c>
      <c r="F9" s="85">
        <f>-E9*'Q2 Base'!$C$17</f>
        <v>-16.957920000000001</v>
      </c>
      <c r="G9" s="86">
        <f>E9+F9</f>
        <v>1396.20208</v>
      </c>
      <c r="H9" s="35"/>
      <c r="I9" s="35"/>
    </row>
    <row r="10" spans="1:9" x14ac:dyDescent="0.25">
      <c r="B10" s="43">
        <v>2</v>
      </c>
      <c r="C10" s="87">
        <f>'Q2 Base'!$C$6</f>
        <v>2000</v>
      </c>
      <c r="D10" s="88">
        <f>C10*(1-'Q2 Base'!$C$18)</f>
        <v>1960</v>
      </c>
      <c r="E10" s="88">
        <f>(G9+D10)*(1+'Q2 Base'!$C$23)</f>
        <v>3456.8881424000001</v>
      </c>
      <c r="F10" s="88">
        <f>-E10*'Q2 Base'!$C$17</f>
        <v>-41.482657708800005</v>
      </c>
      <c r="G10" s="89">
        <f t="shared" ref="G10:G22" si="0">E10+F10</f>
        <v>3415.4054846911999</v>
      </c>
      <c r="H10" s="35"/>
      <c r="I10" s="35"/>
    </row>
    <row r="11" spans="1:9" x14ac:dyDescent="0.25">
      <c r="B11" s="43">
        <v>3</v>
      </c>
      <c r="C11" s="87">
        <f>'Q2 Base'!$C$6</f>
        <v>2000</v>
      </c>
      <c r="D11" s="88">
        <f>C11*(1-'Q2 Base'!$C$18)</f>
        <v>1960</v>
      </c>
      <c r="E11" s="88">
        <f>(G10+D11)*(1+'Q2 Base'!$C$23)</f>
        <v>5536.6676492319366</v>
      </c>
      <c r="F11" s="88">
        <f>-E11*'Q2 Base'!$C$17</f>
        <v>-66.440011790783245</v>
      </c>
      <c r="G11" s="89">
        <f t="shared" si="0"/>
        <v>5470.2276374411531</v>
      </c>
    </row>
    <row r="12" spans="1:9" x14ac:dyDescent="0.25">
      <c r="B12" s="43">
        <v>4</v>
      </c>
      <c r="C12" s="87">
        <f>'Q2 Base'!$C$6</f>
        <v>2000</v>
      </c>
      <c r="D12" s="88">
        <f>C12*(1-'Q2 Base'!$C$18)</f>
        <v>1960</v>
      </c>
      <c r="E12" s="88">
        <f>(G11+D12)*(1+'Q2 Base'!$C$23)</f>
        <v>7653.1344665643883</v>
      </c>
      <c r="F12" s="88">
        <f>-E12*'Q2 Base'!$C$17</f>
        <v>-91.837613598772663</v>
      </c>
      <c r="G12" s="89">
        <f t="shared" si="0"/>
        <v>7561.2968529656155</v>
      </c>
    </row>
    <row r="13" spans="1:9" x14ac:dyDescent="0.25">
      <c r="B13" s="43">
        <v>5</v>
      </c>
      <c r="C13" s="87">
        <f>'Q2 Base'!$C$6</f>
        <v>2000</v>
      </c>
      <c r="D13" s="88">
        <f>C13*(1-'Q2 Base'!$C$18)</f>
        <v>1960</v>
      </c>
      <c r="E13" s="88">
        <f>(G12+D13)*(1+'Q2 Base'!$C$23)</f>
        <v>9806.935758554584</v>
      </c>
      <c r="F13" s="88">
        <f>-E13*'Q2 Base'!$C$17</f>
        <v>-117.68322910265501</v>
      </c>
      <c r="G13" s="89">
        <f t="shared" si="0"/>
        <v>9689.2525294519291</v>
      </c>
    </row>
    <row r="14" spans="1:9" x14ac:dyDescent="0.25">
      <c r="B14" s="43">
        <v>6</v>
      </c>
      <c r="C14" s="87">
        <f>'Q2 Base'!$C$6</f>
        <v>2000</v>
      </c>
      <c r="D14" s="88">
        <f>C14*(1-'Q2 Base'!$C$18)</f>
        <v>1960</v>
      </c>
      <c r="E14" s="88">
        <f>(G13+D14)*(1+'Q2 Base'!$C$23)</f>
        <v>11998.730105335488</v>
      </c>
      <c r="F14" s="88">
        <f>-E14*'Q2 Base'!$C$17</f>
        <v>-143.98476126402585</v>
      </c>
      <c r="G14" s="89">
        <f t="shared" si="0"/>
        <v>11854.745344071462</v>
      </c>
    </row>
    <row r="15" spans="1:9" x14ac:dyDescent="0.25">
      <c r="B15" s="43">
        <v>7</v>
      </c>
      <c r="C15" s="87">
        <f>'Q2 Base'!$C$6</f>
        <v>2000</v>
      </c>
      <c r="D15" s="88">
        <f>C15*(1-'Q2 Base'!$C$18)</f>
        <v>1960</v>
      </c>
      <c r="E15" s="88">
        <f>(G14+D15)*(1+'Q2 Base'!$C$23)</f>
        <v>14229.187704393606</v>
      </c>
      <c r="F15" s="88">
        <f>-E15*'Q2 Base'!$C$17</f>
        <v>-170.75025245272326</v>
      </c>
      <c r="G15" s="89">
        <f t="shared" si="0"/>
        <v>14058.437451940883</v>
      </c>
    </row>
    <row r="16" spans="1:9" x14ac:dyDescent="0.25">
      <c r="B16" s="43">
        <v>8</v>
      </c>
      <c r="C16" s="87">
        <f>'Q2 Base'!$C$6</f>
        <v>2000</v>
      </c>
      <c r="D16" s="88">
        <f>C16*(1-'Q2 Base'!$C$18)</f>
        <v>1960</v>
      </c>
      <c r="E16" s="88">
        <f>(G15+D16)*(1+'Q2 Base'!$C$23)</f>
        <v>16498.990575499109</v>
      </c>
      <c r="F16" s="88">
        <f>-E16*'Q2 Base'!$C$17</f>
        <v>-197.98788690598931</v>
      </c>
      <c r="G16" s="89">
        <f t="shared" si="0"/>
        <v>16301.00268859312</v>
      </c>
    </row>
    <row r="17" spans="2:7" x14ac:dyDescent="0.25">
      <c r="B17" s="43">
        <v>9</v>
      </c>
      <c r="C17" s="87">
        <f>'Q2 Base'!$C$6</f>
        <v>2000</v>
      </c>
      <c r="D17" s="88">
        <f>C17*(1-'Q2 Base'!$C$18)</f>
        <v>1960</v>
      </c>
      <c r="E17" s="88">
        <f>(G16+D17)*(1+'Q2 Base'!$C$23)</f>
        <v>18808.832769250916</v>
      </c>
      <c r="F17" s="88">
        <f>-E17*'Q2 Base'!$C$17</f>
        <v>-225.70599323101098</v>
      </c>
      <c r="G17" s="89">
        <f t="shared" si="0"/>
        <v>18583.126776019904</v>
      </c>
    </row>
    <row r="18" spans="2:7" x14ac:dyDescent="0.25">
      <c r="B18" s="43">
        <v>10</v>
      </c>
      <c r="C18" s="87">
        <f>'Q2 Base'!$C$6</f>
        <v>2000</v>
      </c>
      <c r="D18" s="88">
        <f>C18*(1-'Q2 Base'!$C$18)</f>
        <v>1960</v>
      </c>
      <c r="E18" s="88">
        <f>(G17+D18)*(1+'Q2 Base'!$C$23)</f>
        <v>21159.420579300502</v>
      </c>
      <c r="F18" s="88">
        <f>-E18*'Q2 Base'!$C$17</f>
        <v>-253.91304695160602</v>
      </c>
      <c r="G18" s="89">
        <f t="shared" si="0"/>
        <v>20905.507532348896</v>
      </c>
    </row>
    <row r="19" spans="2:7" x14ac:dyDescent="0.25">
      <c r="B19" s="43">
        <v>11</v>
      </c>
      <c r="C19" s="87">
        <f>'Q2 Base'!$C$6</f>
        <v>2000</v>
      </c>
      <c r="D19" s="88">
        <f>C19*(1-'Q2 Base'!$C$18)</f>
        <v>1960</v>
      </c>
      <c r="E19" s="88">
        <f>(G18+D19)*(1+'Q2 Base'!$C$23)</f>
        <v>23551.472758319363</v>
      </c>
      <c r="F19" s="88">
        <f>-E19*'Q2 Base'!$C$17</f>
        <v>-282.61767309983236</v>
      </c>
      <c r="G19" s="89">
        <f t="shared" si="0"/>
        <v>23268.855085219529</v>
      </c>
    </row>
    <row r="20" spans="2:7" x14ac:dyDescent="0.25">
      <c r="B20" s="43">
        <v>12</v>
      </c>
      <c r="C20" s="87">
        <f>'Q2 Base'!$C$6</f>
        <v>2000</v>
      </c>
      <c r="D20" s="88">
        <f>C20*(1-'Q2 Base'!$C$18)</f>
        <v>1960</v>
      </c>
      <c r="E20" s="88">
        <f>(G19+D20)*(1+'Q2 Base'!$C$23)</f>
        <v>25985.720737776115</v>
      </c>
      <c r="F20" s="88">
        <f>-E20*'Q2 Base'!$C$17</f>
        <v>-311.82864885331338</v>
      </c>
      <c r="G20" s="89">
        <f t="shared" si="0"/>
        <v>25673.892088922803</v>
      </c>
    </row>
    <row r="21" spans="2:7" x14ac:dyDescent="0.25">
      <c r="B21" s="43">
        <v>13</v>
      </c>
      <c r="C21" s="87">
        <f>'Q2 Base'!$C$6</f>
        <v>2000</v>
      </c>
      <c r="D21" s="88">
        <f>C21*(1-'Q2 Base'!$C$18)</f>
        <v>1960</v>
      </c>
      <c r="E21" s="88">
        <f>(G20+D21)*(1+'Q2 Base'!$C$23)</f>
        <v>28462.908851590488</v>
      </c>
      <c r="F21" s="88">
        <f>-E21*'Q2 Base'!$C$17</f>
        <v>-341.55490621908586</v>
      </c>
      <c r="G21" s="89">
        <f t="shared" si="0"/>
        <v>28121.3539453714</v>
      </c>
    </row>
    <row r="22" spans="2:7" x14ac:dyDescent="0.25">
      <c r="B22" s="43">
        <v>14</v>
      </c>
      <c r="C22" s="87">
        <f>'Q2 Base'!$C$6</f>
        <v>2000</v>
      </c>
      <c r="D22" s="88">
        <f>C22*(1-'Q2 Base'!$C$18)</f>
        <v>1960</v>
      </c>
      <c r="E22" s="88">
        <f>(G21+D22)*(1+'Q2 Base'!$C$23)</f>
        <v>30983.794563732543</v>
      </c>
      <c r="F22" s="88">
        <f>-E22*'Q2 Base'!$C$17</f>
        <v>-371.80553476479054</v>
      </c>
      <c r="G22" s="89">
        <f t="shared" si="0"/>
        <v>30611.989028967753</v>
      </c>
    </row>
    <row r="23" spans="2:7" ht="15.75" thickBot="1" x14ac:dyDescent="0.3">
      <c r="B23" s="44">
        <v>15</v>
      </c>
      <c r="C23" s="90">
        <f>'Q2 Base'!$C$6</f>
        <v>2000</v>
      </c>
      <c r="D23" s="91">
        <f>C23*(1-'Q2 Base'!$C$18)</f>
        <v>1960</v>
      </c>
      <c r="E23" s="91">
        <f>(G22+D23)*(1+'Q2 Base'!$C$23)</f>
        <v>33549.148699836784</v>
      </c>
      <c r="F23" s="91">
        <f>-E23*'Q2 Base'!$C$17</f>
        <v>-402.58978439804139</v>
      </c>
      <c r="G23" s="92">
        <f>E23+F23</f>
        <v>33146.558915438742</v>
      </c>
    </row>
  </sheetData>
  <mergeCells count="1">
    <mergeCell ref="C7:G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5CBD-D36A-4A8A-B568-4D1D26BC877F}">
  <dimension ref="A1:P23"/>
  <sheetViews>
    <sheetView workbookViewId="0">
      <selection activeCell="I10" sqref="I10"/>
    </sheetView>
  </sheetViews>
  <sheetFormatPr defaultRowHeight="15" x14ac:dyDescent="0.25"/>
  <cols>
    <col min="1" max="1" width="3.28515625" style="13" customWidth="1"/>
    <col min="2" max="2" width="9.140625" style="17"/>
    <col min="3" max="3" width="16.42578125" style="13" customWidth="1"/>
    <col min="4" max="4" width="11.85546875" style="13" customWidth="1"/>
    <col min="5" max="6" width="9.140625" style="13"/>
    <col min="7" max="7" width="10.7109375" style="13" customWidth="1"/>
    <col min="8" max="8" width="11.28515625" style="13" customWidth="1"/>
    <col min="9" max="9" width="14.28515625" style="13" customWidth="1"/>
    <col min="10" max="11" width="11.140625" style="13" customWidth="1"/>
    <col min="12" max="13" width="9.140625" style="13"/>
    <col min="14" max="14" width="15.28515625" style="13" customWidth="1"/>
    <col min="15" max="16384" width="9.140625" style="13"/>
  </cols>
  <sheetData>
    <row r="1" spans="1:16" ht="15.75" thickBot="1" x14ac:dyDescent="0.3"/>
    <row r="2" spans="1:16" s="100" customFormat="1" ht="26.25" thickBot="1" x14ac:dyDescent="0.4">
      <c r="A2" s="99" t="s">
        <v>150</v>
      </c>
    </row>
    <row r="6" spans="1:16" s="74" customFormat="1" ht="15.75" thickBot="1" x14ac:dyDescent="0.3">
      <c r="B6" s="73"/>
      <c r="C6" s="7" t="s">
        <v>2</v>
      </c>
      <c r="D6" s="7" t="s">
        <v>2</v>
      </c>
      <c r="E6" s="7" t="s">
        <v>2</v>
      </c>
      <c r="F6" s="7" t="s">
        <v>2</v>
      </c>
      <c r="G6" s="7" t="s">
        <v>2</v>
      </c>
      <c r="H6" s="140" t="s">
        <v>2</v>
      </c>
      <c r="I6" s="140" t="s">
        <v>2</v>
      </c>
      <c r="J6" s="7" t="s">
        <v>3</v>
      </c>
      <c r="K6" s="7" t="s">
        <v>2</v>
      </c>
      <c r="L6" s="7" t="s">
        <v>2</v>
      </c>
      <c r="M6" s="7" t="s">
        <v>3</v>
      </c>
      <c r="N6" s="7" t="s">
        <v>3</v>
      </c>
    </row>
    <row r="7" spans="1:16" ht="15.75" thickBot="1" x14ac:dyDescent="0.3">
      <c r="C7" s="147" t="s">
        <v>26</v>
      </c>
      <c r="D7" s="148"/>
      <c r="E7" s="148"/>
      <c r="F7" s="148"/>
      <c r="G7" s="148"/>
      <c r="H7" s="148"/>
      <c r="I7" s="148"/>
      <c r="J7" s="148"/>
      <c r="K7" s="148"/>
      <c r="L7" s="148"/>
      <c r="M7" s="148"/>
      <c r="N7" s="149"/>
    </row>
    <row r="8" spans="1:16" s="25" customFormat="1" ht="50.25" customHeight="1" thickBot="1" x14ac:dyDescent="0.3">
      <c r="B8" s="21" t="s">
        <v>27</v>
      </c>
      <c r="C8" s="22" t="s">
        <v>31</v>
      </c>
      <c r="D8" s="23" t="s">
        <v>32</v>
      </c>
      <c r="E8" s="23" t="s">
        <v>33</v>
      </c>
      <c r="F8" s="23" t="s">
        <v>13</v>
      </c>
      <c r="G8" s="23" t="s">
        <v>9</v>
      </c>
      <c r="H8" s="23" t="s">
        <v>189</v>
      </c>
      <c r="I8" s="23" t="s">
        <v>190</v>
      </c>
      <c r="J8" s="23" t="s">
        <v>191</v>
      </c>
      <c r="K8" s="23" t="s">
        <v>195</v>
      </c>
      <c r="L8" s="23" t="s">
        <v>196</v>
      </c>
      <c r="M8" s="23" t="s">
        <v>192</v>
      </c>
      <c r="N8" s="24" t="s">
        <v>34</v>
      </c>
    </row>
    <row r="9" spans="1:16" x14ac:dyDescent="0.25">
      <c r="B9" s="43">
        <v>1</v>
      </c>
      <c r="C9" s="84">
        <f>'Q2 (i)'!C9-'Q2 (i)'!D9</f>
        <v>628</v>
      </c>
      <c r="D9" s="93">
        <f>-'Q2 Base'!C25</f>
        <v>-300</v>
      </c>
      <c r="E9" s="85">
        <f>(C9+D9)*'Q2 Base'!$C$24</f>
        <v>8.2000000000000011</v>
      </c>
      <c r="F9" s="85">
        <f>-'Q2 (i)'!F9</f>
        <v>16.957920000000001</v>
      </c>
      <c r="G9" s="85">
        <f>'Q2 (i)'!G9*'Q2 Base'!$C$11</f>
        <v>209.43031199999999</v>
      </c>
      <c r="H9" s="81">
        <f>'Q2 Base'!O12</f>
        <v>2.3550699999999999E-3</v>
      </c>
      <c r="I9" s="30">
        <f>'Q2 Base'!Q12</f>
        <v>0.04</v>
      </c>
      <c r="J9" s="85">
        <f t="shared" ref="J9:J23" si="0">I9*G9</f>
        <v>8.377212479999999</v>
      </c>
      <c r="K9" s="85">
        <v>0</v>
      </c>
      <c r="L9" s="85">
        <v>0</v>
      </c>
      <c r="M9" s="85">
        <f>-'Q2 Base'!$C$27*(H9+I9)</f>
        <v>-16.942028000000001</v>
      </c>
      <c r="N9" s="86">
        <f t="shared" ref="N9:N22" si="1">C9+D9+E9+F9+J9+K9+M9</f>
        <v>344.59310448000002</v>
      </c>
      <c r="O9" s="35"/>
      <c r="P9" s="35"/>
    </row>
    <row r="10" spans="1:16" x14ac:dyDescent="0.25">
      <c r="B10" s="43">
        <v>2</v>
      </c>
      <c r="C10" s="87">
        <f>'Q2 (i)'!C10-'Q2 (i)'!D10</f>
        <v>40</v>
      </c>
      <c r="D10" s="88">
        <f>-'Q2 Base'!$C$26</f>
        <v>-250</v>
      </c>
      <c r="E10" s="88">
        <f>(C10+D10)*'Q2 Base'!$C$24</f>
        <v>-5.25</v>
      </c>
      <c r="F10" s="88">
        <f>-'Q2 (i)'!F10</f>
        <v>41.482657708800005</v>
      </c>
      <c r="G10" s="88">
        <f>'Q2 (i)'!G10*'Q2 Base'!$C$11</f>
        <v>512.31082270367995</v>
      </c>
      <c r="H10" s="82">
        <f>'Q2 Base'!O13</f>
        <v>2.6869200000000002E-3</v>
      </c>
      <c r="I10" s="36">
        <f>'Q2 Base'!Q13</f>
        <v>0.04</v>
      </c>
      <c r="J10" s="88">
        <f t="shared" si="0"/>
        <v>20.492432908147197</v>
      </c>
      <c r="K10" s="88">
        <v>0</v>
      </c>
      <c r="L10" s="88">
        <v>0</v>
      </c>
      <c r="M10" s="88">
        <f>-'Q2 Base'!$C$27*(H10+I10)</f>
        <v>-17.074768000000002</v>
      </c>
      <c r="N10" s="89">
        <f t="shared" si="1"/>
        <v>-170.34967738305281</v>
      </c>
      <c r="P10" s="35"/>
    </row>
    <row r="11" spans="1:16" x14ac:dyDescent="0.25">
      <c r="B11" s="43">
        <v>3</v>
      </c>
      <c r="C11" s="87">
        <f>'Q2 (i)'!C11-'Q2 (i)'!D11</f>
        <v>40</v>
      </c>
      <c r="D11" s="88">
        <f>-'Q2 Base'!$C$26</f>
        <v>-250</v>
      </c>
      <c r="E11" s="88">
        <f>(C11+D11)*'Q2 Base'!$C$24</f>
        <v>-5.25</v>
      </c>
      <c r="F11" s="88">
        <f>-'Q2 (i)'!F11</f>
        <v>66.440011790783245</v>
      </c>
      <c r="G11" s="88">
        <f>'Q2 (i)'!G11*'Q2 Base'!$C$11</f>
        <v>820.53414561617296</v>
      </c>
      <c r="H11" s="82">
        <f>'Q2 Base'!O14</f>
        <v>3.06508E-3</v>
      </c>
      <c r="I11" s="36">
        <f>'Q2 Base'!Q14</f>
        <v>0.04</v>
      </c>
      <c r="J11" s="88">
        <f t="shared" si="0"/>
        <v>32.821365824646918</v>
      </c>
      <c r="K11" s="88">
        <v>0</v>
      </c>
      <c r="L11" s="88">
        <v>0</v>
      </c>
      <c r="M11" s="88">
        <f>-'Q2 Base'!$C$27*(H11+I11)</f>
        <v>-17.226032</v>
      </c>
      <c r="N11" s="89">
        <f t="shared" si="1"/>
        <v>-133.21465438456983</v>
      </c>
    </row>
    <row r="12" spans="1:16" x14ac:dyDescent="0.25">
      <c r="B12" s="43">
        <v>4</v>
      </c>
      <c r="C12" s="87">
        <f>'Q2 (i)'!C12-'Q2 (i)'!D12</f>
        <v>40</v>
      </c>
      <c r="D12" s="88">
        <f>-'Q2 Base'!$C$26</f>
        <v>-250</v>
      </c>
      <c r="E12" s="88">
        <f>(C12+D12)*'Q2 Base'!$C$24</f>
        <v>-5.25</v>
      </c>
      <c r="F12" s="88">
        <f>-'Q2 (i)'!F12</f>
        <v>91.837613598772663</v>
      </c>
      <c r="G12" s="88">
        <f>'Q2 (i)'!G12*'Q2 Base'!$C$11</f>
        <v>1134.1945279448423</v>
      </c>
      <c r="H12" s="82">
        <f>'Q2 Base'!O15</f>
        <v>3.4917500000000001E-3</v>
      </c>
      <c r="I12" s="36">
        <f>'Q2 Base'!Q15</f>
        <v>0.04</v>
      </c>
      <c r="J12" s="88">
        <f t="shared" si="0"/>
        <v>45.36778111779369</v>
      </c>
      <c r="K12" s="88">
        <v>0</v>
      </c>
      <c r="L12" s="88">
        <v>0</v>
      </c>
      <c r="M12" s="88">
        <f>-'Q2 Base'!$C$27*(H12+I12)</f>
        <v>-17.396700000000003</v>
      </c>
      <c r="N12" s="89">
        <f t="shared" si="1"/>
        <v>-95.44130528343365</v>
      </c>
    </row>
    <row r="13" spans="1:16" x14ac:dyDescent="0.25">
      <c r="B13" s="43">
        <v>5</v>
      </c>
      <c r="C13" s="87">
        <f>'Q2 (i)'!C13-'Q2 (i)'!D13</f>
        <v>40</v>
      </c>
      <c r="D13" s="88">
        <f>-'Q2 Base'!$C$26</f>
        <v>-250</v>
      </c>
      <c r="E13" s="88">
        <f>(C13+D13)*'Q2 Base'!$C$24</f>
        <v>-5.25</v>
      </c>
      <c r="F13" s="88">
        <f>-'Q2 (i)'!F13</f>
        <v>117.68322910265501</v>
      </c>
      <c r="G13" s="88">
        <f>'Q2 (i)'!G13*'Q2 Base'!$C$11</f>
        <v>1453.3878794177892</v>
      </c>
      <c r="H13" s="82">
        <f>'Q2 Base'!O16</f>
        <v>3.9735400000000002E-3</v>
      </c>
      <c r="I13" s="36">
        <f>'Q2 Base'!Q16</f>
        <v>0.04</v>
      </c>
      <c r="J13" s="88">
        <f t="shared" si="0"/>
        <v>58.135515176711571</v>
      </c>
      <c r="K13" s="88">
        <v>0</v>
      </c>
      <c r="L13" s="88">
        <v>0</v>
      </c>
      <c r="M13" s="88">
        <f>-'Q2 Base'!$C$27*(H13+I13)</f>
        <v>-17.589416</v>
      </c>
      <c r="N13" s="89">
        <f t="shared" si="1"/>
        <v>-57.020671720633423</v>
      </c>
    </row>
    <row r="14" spans="1:16" x14ac:dyDescent="0.25">
      <c r="B14" s="43">
        <v>6</v>
      </c>
      <c r="C14" s="87">
        <f>'Q2 (i)'!C14-'Q2 (i)'!D14</f>
        <v>40</v>
      </c>
      <c r="D14" s="88">
        <f>-'Q2 Base'!$C$26</f>
        <v>-250</v>
      </c>
      <c r="E14" s="88">
        <f>(C14+D14)*'Q2 Base'!$C$24</f>
        <v>-5.25</v>
      </c>
      <c r="F14" s="88">
        <f>-'Q2 (i)'!F14</f>
        <v>143.98476126402585</v>
      </c>
      <c r="G14" s="88">
        <f>'Q2 (i)'!G14*'Q2 Base'!$C$11</f>
        <v>1778.2118016107192</v>
      </c>
      <c r="H14" s="82">
        <f>'Q2 Base'!O17</f>
        <v>4.5170699999999998E-3</v>
      </c>
      <c r="I14" s="36">
        <f>'Q2 Base'!Q17</f>
        <v>0.03</v>
      </c>
      <c r="J14" s="88">
        <f t="shared" si="0"/>
        <v>53.346354048321572</v>
      </c>
      <c r="K14" s="88">
        <v>0</v>
      </c>
      <c r="L14" s="88">
        <v>0</v>
      </c>
      <c r="M14" s="88">
        <f>-'Q2 Base'!$C$27*(H14+I14)</f>
        <v>-13.806827999999999</v>
      </c>
      <c r="N14" s="89">
        <f t="shared" si="1"/>
        <v>-31.725712687652578</v>
      </c>
    </row>
    <row r="15" spans="1:16" x14ac:dyDescent="0.25">
      <c r="B15" s="43">
        <v>7</v>
      </c>
      <c r="C15" s="87">
        <f>'Q2 (i)'!C15-'Q2 (i)'!D15</f>
        <v>40</v>
      </c>
      <c r="D15" s="88">
        <f>-'Q2 Base'!$C$26</f>
        <v>-250</v>
      </c>
      <c r="E15" s="88">
        <f>(C15+D15)*'Q2 Base'!$C$24</f>
        <v>-5.25</v>
      </c>
      <c r="F15" s="88">
        <f>-'Q2 (i)'!F15</f>
        <v>170.75025245272326</v>
      </c>
      <c r="G15" s="88">
        <f>'Q2 (i)'!G15*'Q2 Base'!$C$11</f>
        <v>2108.7656177911322</v>
      </c>
      <c r="H15" s="82">
        <f>'Q2 Base'!O18</f>
        <v>5.1300599999999997E-3</v>
      </c>
      <c r="I15" s="36">
        <f>'Q2 Base'!Q18</f>
        <v>0.03</v>
      </c>
      <c r="J15" s="88">
        <f t="shared" si="0"/>
        <v>63.262968533733961</v>
      </c>
      <c r="K15" s="88">
        <v>0</v>
      </c>
      <c r="L15" s="88">
        <v>0</v>
      </c>
      <c r="M15" s="88">
        <f>-'Q2 Base'!$C$27*(H15+I15)</f>
        <v>-14.052023999999999</v>
      </c>
      <c r="N15" s="89">
        <f t="shared" si="1"/>
        <v>4.711196986457221</v>
      </c>
    </row>
    <row r="16" spans="1:16" x14ac:dyDescent="0.25">
      <c r="B16" s="43">
        <v>8</v>
      </c>
      <c r="C16" s="87">
        <f>'Q2 (i)'!C16-'Q2 (i)'!D16</f>
        <v>40</v>
      </c>
      <c r="D16" s="88">
        <f>-'Q2 Base'!$C$26</f>
        <v>-250</v>
      </c>
      <c r="E16" s="88">
        <f>(C16+D16)*'Q2 Base'!$C$24</f>
        <v>-5.25</v>
      </c>
      <c r="F16" s="88">
        <f>-'Q2 (i)'!F16</f>
        <v>197.98788690598931</v>
      </c>
      <c r="G16" s="88">
        <f>'Q2 (i)'!G16*'Q2 Base'!$C$11</f>
        <v>2445.1504032889679</v>
      </c>
      <c r="H16" s="82">
        <f>'Q2 Base'!O19</f>
        <v>5.8191199999999997E-3</v>
      </c>
      <c r="I16" s="36">
        <f>'Q2 Base'!Q19</f>
        <v>0.03</v>
      </c>
      <c r="J16" s="88">
        <f t="shared" si="0"/>
        <v>73.354512098669034</v>
      </c>
      <c r="K16" s="88">
        <v>0</v>
      </c>
      <c r="L16" s="88">
        <v>0</v>
      </c>
      <c r="M16" s="88">
        <f>-'Q2 Base'!$C$27*(H16+I16)</f>
        <v>-14.327647999999998</v>
      </c>
      <c r="N16" s="89">
        <f t="shared" si="1"/>
        <v>41.764751004658351</v>
      </c>
    </row>
    <row r="17" spans="2:14" x14ac:dyDescent="0.25">
      <c r="B17" s="43">
        <v>9</v>
      </c>
      <c r="C17" s="87">
        <f>'Q2 (i)'!C17-'Q2 (i)'!D17</f>
        <v>40</v>
      </c>
      <c r="D17" s="88">
        <f>-'Q2 Base'!$C$26</f>
        <v>-250</v>
      </c>
      <c r="E17" s="88">
        <f>(C17+D17)*'Q2 Base'!$C$24</f>
        <v>-5.25</v>
      </c>
      <c r="F17" s="88">
        <f>-'Q2 (i)'!F17</f>
        <v>225.70599323101098</v>
      </c>
      <c r="G17" s="88">
        <f>'Q2 (i)'!G17*'Q2 Base'!$C$11</f>
        <v>2787.4690164029857</v>
      </c>
      <c r="H17" s="82">
        <f>'Q2 Base'!O20</f>
        <v>6.5930800000000003E-3</v>
      </c>
      <c r="I17" s="36">
        <f>'Q2 Base'!Q20</f>
        <v>0.03</v>
      </c>
      <c r="J17" s="88">
        <f t="shared" si="0"/>
        <v>83.624070492089572</v>
      </c>
      <c r="K17" s="88">
        <v>0</v>
      </c>
      <c r="L17" s="88">
        <v>0</v>
      </c>
      <c r="M17" s="88">
        <f>-'Q2 Base'!$C$27*(H17+I17)</f>
        <v>-14.637232000000001</v>
      </c>
      <c r="N17" s="89">
        <f t="shared" si="1"/>
        <v>79.442831723100554</v>
      </c>
    </row>
    <row r="18" spans="2:14" x14ac:dyDescent="0.25">
      <c r="B18" s="43">
        <v>10</v>
      </c>
      <c r="C18" s="87">
        <f>'Q2 (i)'!C18-'Q2 (i)'!D18</f>
        <v>40</v>
      </c>
      <c r="D18" s="88">
        <f>-'Q2 Base'!$C$26</f>
        <v>-250</v>
      </c>
      <c r="E18" s="88">
        <f>(C18+D18)*'Q2 Base'!$C$24</f>
        <v>-5.25</v>
      </c>
      <c r="F18" s="88">
        <f>-'Q2 (i)'!F18</f>
        <v>253.91304695160602</v>
      </c>
      <c r="G18" s="88">
        <f>'Q2 (i)'!G18*'Q2 Base'!$C$11</f>
        <v>3135.8261298523344</v>
      </c>
      <c r="H18" s="82">
        <f>'Q2 Base'!O21</f>
        <v>7.4618499999999999E-3</v>
      </c>
      <c r="I18" s="36">
        <f>'Q2 Base'!Q21</f>
        <v>0.03</v>
      </c>
      <c r="J18" s="88">
        <f t="shared" si="0"/>
        <v>94.074783895570022</v>
      </c>
      <c r="K18" s="88">
        <v>0</v>
      </c>
      <c r="L18" s="88">
        <v>0</v>
      </c>
      <c r="M18" s="88">
        <f>-'Q2 Base'!$C$27*(H18+I18)</f>
        <v>-14.984739999999999</v>
      </c>
      <c r="N18" s="89">
        <f t="shared" si="1"/>
        <v>117.75309084717604</v>
      </c>
    </row>
    <row r="19" spans="2:14" x14ac:dyDescent="0.25">
      <c r="B19" s="43">
        <v>11</v>
      </c>
      <c r="C19" s="87">
        <f>'Q2 (i)'!C19-'Q2 (i)'!D19</f>
        <v>40</v>
      </c>
      <c r="D19" s="88">
        <f>-'Q2 Base'!$C$26</f>
        <v>-250</v>
      </c>
      <c r="E19" s="88">
        <f>(C19+D19)*'Q2 Base'!$C$24</f>
        <v>-5.25</v>
      </c>
      <c r="F19" s="88">
        <f>-'Q2 (i)'!F19</f>
        <v>282.61767309983236</v>
      </c>
      <c r="G19" s="88">
        <f>'Q2 (i)'!G19*'Q2 Base'!$C$11</f>
        <v>3490.3282627829294</v>
      </c>
      <c r="H19" s="82">
        <f>'Q2 Base'!O22</f>
        <v>8.4342600000000007E-3</v>
      </c>
      <c r="I19" s="36">
        <f>'Q2 Base'!Q22</f>
        <v>0</v>
      </c>
      <c r="J19" s="88">
        <f t="shared" si="0"/>
        <v>0</v>
      </c>
      <c r="K19" s="88">
        <v>0</v>
      </c>
      <c r="L19" s="88">
        <v>0</v>
      </c>
      <c r="M19" s="88">
        <f>-'Q2 Base'!$C$27*(H19+I19)</f>
        <v>-3.3737040000000005</v>
      </c>
      <c r="N19" s="89">
        <f t="shared" si="1"/>
        <v>63.993969099832356</v>
      </c>
    </row>
    <row r="20" spans="2:14" x14ac:dyDescent="0.25">
      <c r="B20" s="43">
        <v>12</v>
      </c>
      <c r="C20" s="87">
        <f>'Q2 (i)'!C20-'Q2 (i)'!D20</f>
        <v>40</v>
      </c>
      <c r="D20" s="88">
        <f>-'Q2 Base'!$C$26</f>
        <v>-250</v>
      </c>
      <c r="E20" s="88">
        <f>(C20+D20)*'Q2 Base'!$C$24</f>
        <v>-5.25</v>
      </c>
      <c r="F20" s="88">
        <f>-'Q2 (i)'!F20</f>
        <v>311.82864885331338</v>
      </c>
      <c r="G20" s="88">
        <f>'Q2 (i)'!G20*'Q2 Base'!$C$11</f>
        <v>3851.0838133384204</v>
      </c>
      <c r="H20" s="82">
        <f>'Q2 Base'!O23</f>
        <v>9.5224200000000002E-3</v>
      </c>
      <c r="I20" s="36">
        <f>'Q2 Base'!Q23</f>
        <v>0</v>
      </c>
      <c r="J20" s="88">
        <f t="shared" si="0"/>
        <v>0</v>
      </c>
      <c r="K20" s="88">
        <v>0</v>
      </c>
      <c r="L20" s="88">
        <v>0</v>
      </c>
      <c r="M20" s="88">
        <f>-'Q2 Base'!$C$27*(H20+I20)</f>
        <v>-3.8089680000000001</v>
      </c>
      <c r="N20" s="89">
        <f t="shared" si="1"/>
        <v>92.769680853313389</v>
      </c>
    </row>
    <row r="21" spans="2:14" x14ac:dyDescent="0.25">
      <c r="B21" s="43">
        <v>13</v>
      </c>
      <c r="C21" s="87">
        <f>'Q2 (i)'!C21-'Q2 (i)'!D21</f>
        <v>40</v>
      </c>
      <c r="D21" s="88">
        <f>-'Q2 Base'!$C$26</f>
        <v>-250</v>
      </c>
      <c r="E21" s="88">
        <f>(C21+D21)*'Q2 Base'!$C$24</f>
        <v>-5.25</v>
      </c>
      <c r="F21" s="88">
        <f>-'Q2 (i)'!F21</f>
        <v>341.55490621908586</v>
      </c>
      <c r="G21" s="88">
        <f>'Q2 (i)'!G21*'Q2 Base'!$C$11</f>
        <v>4218.2030918057098</v>
      </c>
      <c r="H21" s="82">
        <f>'Q2 Base'!O24</f>
        <v>1.073848E-2</v>
      </c>
      <c r="I21" s="36">
        <f>'Q2 Base'!Q24</f>
        <v>0</v>
      </c>
      <c r="J21" s="88">
        <f t="shared" si="0"/>
        <v>0</v>
      </c>
      <c r="K21" s="88">
        <v>0</v>
      </c>
      <c r="L21" s="88">
        <v>0</v>
      </c>
      <c r="M21" s="88">
        <f>-'Q2 Base'!$C$27*(H21+I21)</f>
        <v>-4.2953919999999997</v>
      </c>
      <c r="N21" s="89">
        <f t="shared" si="1"/>
        <v>122.00951421908587</v>
      </c>
    </row>
    <row r="22" spans="2:14" x14ac:dyDescent="0.25">
      <c r="B22" s="43">
        <v>14</v>
      </c>
      <c r="C22" s="87">
        <f>'Q2 (i)'!C22-'Q2 (i)'!D22</f>
        <v>40</v>
      </c>
      <c r="D22" s="88">
        <f>-'Q2 Base'!$C$26</f>
        <v>-250</v>
      </c>
      <c r="E22" s="88">
        <f>(C22+D22)*'Q2 Base'!$C$24</f>
        <v>-5.25</v>
      </c>
      <c r="F22" s="88">
        <f>-'Q2 (i)'!F22</f>
        <v>371.80553476479054</v>
      </c>
      <c r="G22" s="88">
        <f>'Q2 (i)'!G22*'Q2 Base'!$C$11</f>
        <v>4591.7983543451628</v>
      </c>
      <c r="H22" s="82">
        <f>'Q2 Base'!O25</f>
        <v>1.209676E-2</v>
      </c>
      <c r="I22" s="36">
        <f>'Q2 Base'!Q25</f>
        <v>0</v>
      </c>
      <c r="J22" s="88">
        <f t="shared" si="0"/>
        <v>0</v>
      </c>
      <c r="K22" s="88">
        <v>0</v>
      </c>
      <c r="L22" s="88">
        <v>0</v>
      </c>
      <c r="M22" s="88">
        <f>-'Q2 Base'!$C$27*(H22+I22)</f>
        <v>-4.8387039999999999</v>
      </c>
      <c r="N22" s="89">
        <f t="shared" si="1"/>
        <v>151.71683076479053</v>
      </c>
    </row>
    <row r="23" spans="2:14" ht="15.75" thickBot="1" x14ac:dyDescent="0.3">
      <c r="B23" s="44">
        <v>15</v>
      </c>
      <c r="C23" s="90">
        <f>'Q2 (i)'!C23-'Q2 (i)'!D23</f>
        <v>40</v>
      </c>
      <c r="D23" s="91">
        <f>-'Q2 Base'!$C$26</f>
        <v>-250</v>
      </c>
      <c r="E23" s="91">
        <f>(C23+D23)*'Q2 Base'!$C$24</f>
        <v>-5.25</v>
      </c>
      <c r="F23" s="91">
        <f>-'Q2 (i)'!F23</f>
        <v>402.58978439804139</v>
      </c>
      <c r="G23" s="94">
        <v>0</v>
      </c>
      <c r="H23" s="83">
        <f>'Q2 Base'!O26</f>
        <v>1.3609390000000001E-2</v>
      </c>
      <c r="I23" s="39">
        <f>'Q2 Base'!Q26</f>
        <v>0</v>
      </c>
      <c r="J23" s="91">
        <f t="shared" si="0"/>
        <v>0</v>
      </c>
      <c r="K23" s="91">
        <v>0</v>
      </c>
      <c r="L23" s="91">
        <v>0</v>
      </c>
      <c r="M23" s="94">
        <f>-'Q2 Base'!C27</f>
        <v>-400</v>
      </c>
      <c r="N23" s="92">
        <f>C23+D23+E23+F23+J23+K23+L23+M23</f>
        <v>-212.66021560195861</v>
      </c>
    </row>
  </sheetData>
  <mergeCells count="1">
    <mergeCell ref="C7:N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d62bfbc-6384-49a2-9d55-8634354e8427" origin="userSelected">
  <element uid="6ced356a-e7c9-40ae-aea2-3a1b75dc4697" value=""/>
</sisl>
</file>

<file path=customXml/itemProps1.xml><?xml version="1.0" encoding="utf-8"?>
<ds:datastoreItem xmlns:ds="http://schemas.openxmlformats.org/officeDocument/2006/customXml" ds:itemID="{08F49526-7806-418E-A556-DBFF5B6797C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Q1 Base</vt:lpstr>
      <vt:lpstr>Q1 (i) (ii)</vt:lpstr>
      <vt:lpstr>Q1 (iii)</vt:lpstr>
      <vt:lpstr>Q1 (iv)</vt:lpstr>
      <vt:lpstr>Q1 (v)</vt:lpstr>
      <vt:lpstr>Q1 Answers</vt:lpstr>
      <vt:lpstr>Q2 Base</vt:lpstr>
      <vt:lpstr>Q2 (i)</vt:lpstr>
      <vt:lpstr>Q2 (ii)</vt:lpstr>
      <vt:lpstr>Q2 (iii)</vt:lpstr>
      <vt:lpstr>Q2 Answers</vt:lpstr>
      <vt:lpstr>Q3 Base</vt:lpstr>
      <vt:lpstr>Q3 (i)</vt:lpstr>
      <vt:lpstr>Q3(ii)</vt:lpstr>
      <vt:lpstr>Q3 (iii)</vt:lpstr>
      <vt:lpstr>Q3 (iv)</vt:lpstr>
      <vt:lpstr>Q3 (v)</vt:lpstr>
      <vt:lpstr>Q3 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Atherton</dc:creator>
  <cp:keywords>[xyzPublicx]</cp:keywords>
  <cp:lastModifiedBy>Marie Savine</cp:lastModifiedBy>
  <dcterms:created xsi:type="dcterms:W3CDTF">2021-08-28T11:15:18Z</dcterms:created>
  <dcterms:modified xsi:type="dcterms:W3CDTF">2023-06-29T10:05:54Z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6229aea4-4095-46c4-b29c-567a293be95a</vt:lpwstr>
  </property>
  <property fmtid="{D5CDD505-2E9C-101B-9397-08002B2CF9AE}" pid="3" name="bjSaver">
    <vt:lpwstr>LEgPfHzmlmwqagOUCrI1x9YoENEO7fqD</vt:lpwstr>
  </property>
  <property fmtid="{D5CDD505-2E9C-101B-9397-08002B2CF9AE}" pid="4" name="bjDocumentLabelXML">
    <vt:lpwstr>&lt;?xml version="1.0" encoding="us-ascii"?&gt;&lt;sisl xmlns:xsi="http://www.w3.org/2001/XMLSchema-instance" xmlns:xsd="http://www.w3.org/2001/XMLSchema" sislVersion="0" policy="9d62bfbc-6384-49a2-9d55-8634354e8427" origin="userSelected" xmlns="http://www.boldonj</vt:lpwstr>
  </property>
  <property fmtid="{D5CDD505-2E9C-101B-9397-08002B2CF9AE}" pid="5" name="bjDocumentLabelXML-0">
    <vt:lpwstr>ames.com/2008/01/sie/internal/label"&gt;&lt;element uid="6ced356a-e7c9-40ae-aea2-3a1b75dc4697" value="" /&gt;&lt;/sisl&gt;</vt:lpwstr>
  </property>
  <property fmtid="{D5CDD505-2E9C-101B-9397-08002B2CF9AE}" pid="6" name="bjDocumentSecurityLabel">
    <vt:lpwstr>Public</vt:lpwstr>
  </property>
  <property fmtid="{D5CDD505-2E9C-101B-9397-08002B2CF9AE}" pid="7" name="LV-Classification">
    <vt:lpwstr>Public</vt:lpwstr>
  </property>
</Properties>
</file>