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Q:\Assessment\Z. September 2023\6. Examiner Reports\CM1B\"/>
    </mc:Choice>
  </mc:AlternateContent>
  <xr:revisionPtr revIDLastSave="0" documentId="8_{842C2329-1BD8-45C0-8C9A-75E7A508D074}" xr6:coauthVersionLast="47" xr6:coauthVersionMax="47" xr10:uidLastSave="{00000000-0000-0000-0000-000000000000}"/>
  <bookViews>
    <workbookView xWindow="-120" yWindow="-120" windowWidth="29040" windowHeight="15840" firstSheet="14" activeTab="14" xr2:uid="{00000000-000D-0000-FFFF-FFFF00000000}"/>
  </bookViews>
  <sheets>
    <sheet name="Q1" sheetId="1" r:id="rId1"/>
    <sheet name="Q1 Alternative" sheetId="16" r:id="rId2"/>
    <sheet name="Q1 Answers" sheetId="2" r:id="rId3"/>
    <sheet name="Q2 Base" sheetId="3" r:id="rId4"/>
    <sheet name="Q2 all parts" sheetId="4" r:id="rId5"/>
    <sheet name="Q2 Answers" sheetId="5" r:id="rId6"/>
    <sheet name="Q3 Base" sheetId="6" r:id="rId7"/>
    <sheet name="Q3 (i) and (ii)" sheetId="7" r:id="rId8"/>
    <sheet name="Q3 Answers" sheetId="8" r:id="rId9"/>
    <sheet name="Q4 Base" sheetId="9" r:id="rId10"/>
    <sheet name="Q4 (i)" sheetId="11" r:id="rId11"/>
    <sheet name="Q4 (i) Alternative" sheetId="10" r:id="rId12"/>
    <sheet name="Q4 (ii)" sheetId="12" r:id="rId13"/>
    <sheet name="Q4 (ii) Alternative" sheetId="17" r:id="rId14"/>
    <sheet name="Q4(ii) Actual Future Experience" sheetId="19" r:id="rId15"/>
    <sheet name="Q4 (iii)" sheetId="13" r:id="rId16"/>
    <sheet name="Q4 (iii) Alternative" sheetId="18" r:id="rId17"/>
    <sheet name="Q4 (iv)" sheetId="14" r:id="rId18"/>
    <sheet name="Q4 Answers" sheetId="15" r:id="rId1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4" l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5" i="4"/>
  <c r="J26" i="4" l="1"/>
  <c r="W24" i="18" l="1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U9" i="19" l="1"/>
  <c r="U10" i="19"/>
  <c r="U11" i="19"/>
  <c r="U12" i="19"/>
  <c r="U13" i="19"/>
  <c r="U14" i="19"/>
  <c r="U15" i="19"/>
  <c r="U16" i="19"/>
  <c r="U17" i="19"/>
  <c r="U18" i="19"/>
  <c r="U19" i="19"/>
  <c r="U20" i="19"/>
  <c r="U21" i="19"/>
  <c r="U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N22" i="19"/>
  <c r="M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8" i="19"/>
  <c r="G7" i="11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8" i="19"/>
  <c r="D22" i="19"/>
  <c r="P22" i="19" s="1"/>
  <c r="C22" i="19"/>
  <c r="D21" i="19"/>
  <c r="C21" i="19"/>
  <c r="D20" i="19"/>
  <c r="C20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D9" i="19"/>
  <c r="C9" i="19"/>
  <c r="D8" i="19"/>
  <c r="C8" i="19"/>
  <c r="M2" i="19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8" i="13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7" i="17"/>
  <c r="P17" i="19" l="1"/>
  <c r="P9" i="19"/>
  <c r="P20" i="19"/>
  <c r="P16" i="19"/>
  <c r="P8" i="19"/>
  <c r="P19" i="19"/>
  <c r="P15" i="19"/>
  <c r="P11" i="19"/>
  <c r="P21" i="19"/>
  <c r="P13" i="19"/>
  <c r="P12" i="19"/>
  <c r="P18" i="19"/>
  <c r="P14" i="19"/>
  <c r="P10" i="19"/>
  <c r="K8" i="19"/>
  <c r="F21" i="19"/>
  <c r="G21" i="19" s="1"/>
  <c r="F8" i="19"/>
  <c r="F13" i="19"/>
  <c r="G13" i="19" s="1"/>
  <c r="F22" i="19"/>
  <c r="G22" i="19" s="1"/>
  <c r="F20" i="19"/>
  <c r="G20" i="19" s="1"/>
  <c r="F16" i="19"/>
  <c r="G16" i="19" s="1"/>
  <c r="F19" i="19"/>
  <c r="G19" i="19" s="1"/>
  <c r="F11" i="19"/>
  <c r="G11" i="19" s="1"/>
  <c r="F18" i="19"/>
  <c r="G18" i="19" s="1"/>
  <c r="F14" i="19"/>
  <c r="G14" i="19" s="1"/>
  <c r="F10" i="19"/>
  <c r="F12" i="19"/>
  <c r="G12" i="19" s="1"/>
  <c r="F15" i="19"/>
  <c r="G15" i="19" s="1"/>
  <c r="F17" i="19"/>
  <c r="G17" i="19" s="1"/>
  <c r="F9" i="19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5" i="7"/>
  <c r="G9" i="19" l="1"/>
  <c r="G8" i="19"/>
  <c r="J8" i="19" s="1"/>
  <c r="H9" i="19"/>
  <c r="K9" i="19" s="1"/>
  <c r="G10" i="19"/>
  <c r="R2" i="18"/>
  <c r="K2" i="18"/>
  <c r="N8" i="18"/>
  <c r="Y8" i="18" s="1"/>
  <c r="J22" i="18"/>
  <c r="H10" i="19" l="1"/>
  <c r="K10" i="19" s="1"/>
  <c r="J9" i="19"/>
  <c r="D22" i="18"/>
  <c r="C22" i="18"/>
  <c r="D21" i="18"/>
  <c r="C21" i="18"/>
  <c r="G22" i="18" s="1"/>
  <c r="U22" i="18" s="1"/>
  <c r="D20" i="18"/>
  <c r="C20" i="18"/>
  <c r="D19" i="18"/>
  <c r="C19" i="18"/>
  <c r="G20" i="18" s="1"/>
  <c r="U20" i="18" s="1"/>
  <c r="D18" i="18"/>
  <c r="C18" i="18"/>
  <c r="D17" i="18"/>
  <c r="C17" i="18"/>
  <c r="G18" i="18" s="1"/>
  <c r="U18" i="18" s="1"/>
  <c r="D16" i="18"/>
  <c r="C16" i="18"/>
  <c r="D15" i="18"/>
  <c r="C15" i="18"/>
  <c r="G16" i="18" s="1"/>
  <c r="U16" i="18" s="1"/>
  <c r="D14" i="18"/>
  <c r="C14" i="18"/>
  <c r="D13" i="18"/>
  <c r="C13" i="18"/>
  <c r="G14" i="18" s="1"/>
  <c r="U14" i="18" s="1"/>
  <c r="D12" i="18"/>
  <c r="C12" i="18"/>
  <c r="D11" i="18"/>
  <c r="C11" i="18"/>
  <c r="G12" i="18" s="1"/>
  <c r="U12" i="18" s="1"/>
  <c r="D10" i="18"/>
  <c r="C10" i="18"/>
  <c r="D9" i="18"/>
  <c r="C9" i="18"/>
  <c r="G10" i="18" s="1"/>
  <c r="U10" i="18" s="1"/>
  <c r="D8" i="18"/>
  <c r="C8" i="18"/>
  <c r="Q14" i="18"/>
  <c r="N15" i="18" s="1"/>
  <c r="D21" i="17"/>
  <c r="Q22" i="18" s="1"/>
  <c r="C21" i="17"/>
  <c r="G21" i="17" s="1"/>
  <c r="D20" i="17"/>
  <c r="Q21" i="18" s="1"/>
  <c r="N22" i="18" s="1"/>
  <c r="C20" i="17"/>
  <c r="G20" i="17" s="1"/>
  <c r="D19" i="17"/>
  <c r="Q20" i="18" s="1"/>
  <c r="N21" i="18" s="1"/>
  <c r="C19" i="17"/>
  <c r="G19" i="17" s="1"/>
  <c r="D18" i="17"/>
  <c r="Q19" i="18" s="1"/>
  <c r="N20" i="18" s="1"/>
  <c r="C18" i="17"/>
  <c r="G18" i="17" s="1"/>
  <c r="D17" i="17"/>
  <c r="Q18" i="18" s="1"/>
  <c r="N19" i="18" s="1"/>
  <c r="C17" i="17"/>
  <c r="G17" i="17" s="1"/>
  <c r="D16" i="17"/>
  <c r="Q17" i="18" s="1"/>
  <c r="N18" i="18" s="1"/>
  <c r="C16" i="17"/>
  <c r="G16" i="17" s="1"/>
  <c r="D15" i="17"/>
  <c r="Q16" i="18" s="1"/>
  <c r="N17" i="18" s="1"/>
  <c r="C15" i="17"/>
  <c r="G15" i="17" s="1"/>
  <c r="D14" i="17"/>
  <c r="Q15" i="18" s="1"/>
  <c r="N16" i="18" s="1"/>
  <c r="C14" i="17"/>
  <c r="G14" i="17" s="1"/>
  <c r="D13" i="17"/>
  <c r="C13" i="17"/>
  <c r="G13" i="17" s="1"/>
  <c r="D12" i="17"/>
  <c r="Q13" i="18" s="1"/>
  <c r="N14" i="18" s="1"/>
  <c r="C12" i="17"/>
  <c r="G12" i="17" s="1"/>
  <c r="D11" i="17"/>
  <c r="Q12" i="18" s="1"/>
  <c r="N13" i="18" s="1"/>
  <c r="C11" i="17"/>
  <c r="G11" i="17" s="1"/>
  <c r="D10" i="17"/>
  <c r="Q11" i="18" s="1"/>
  <c r="N12" i="18" s="1"/>
  <c r="C10" i="17"/>
  <c r="G10" i="17" s="1"/>
  <c r="D9" i="17"/>
  <c r="Q10" i="18" s="1"/>
  <c r="N11" i="18" s="1"/>
  <c r="C9" i="17"/>
  <c r="G9" i="17" s="1"/>
  <c r="D8" i="17"/>
  <c r="Q9" i="18" s="1"/>
  <c r="N10" i="18" s="1"/>
  <c r="C8" i="17"/>
  <c r="G8" i="17" s="1"/>
  <c r="D7" i="17"/>
  <c r="Q8" i="18" s="1"/>
  <c r="N9" i="18" s="1"/>
  <c r="C7" i="17"/>
  <c r="G7" i="17" s="1"/>
  <c r="I2" i="17"/>
  <c r="J9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14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17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15" i="16"/>
  <c r="D254" i="16"/>
  <c r="L93" i="16"/>
  <c r="K17" i="16"/>
  <c r="K19" i="16"/>
  <c r="K21" i="16"/>
  <c r="K23" i="16"/>
  <c r="K25" i="16"/>
  <c r="K27" i="16"/>
  <c r="K29" i="16"/>
  <c r="K31" i="16"/>
  <c r="K33" i="16"/>
  <c r="K35" i="16"/>
  <c r="K37" i="16"/>
  <c r="K39" i="16"/>
  <c r="K41" i="16"/>
  <c r="K43" i="16"/>
  <c r="K45" i="16"/>
  <c r="K47" i="16"/>
  <c r="K49" i="16"/>
  <c r="K51" i="16"/>
  <c r="K53" i="16"/>
  <c r="K55" i="16"/>
  <c r="K57" i="16"/>
  <c r="K59" i="16"/>
  <c r="K61" i="16"/>
  <c r="K63" i="16"/>
  <c r="K65" i="16"/>
  <c r="K67" i="16"/>
  <c r="K69" i="16"/>
  <c r="K71" i="16"/>
  <c r="K73" i="16"/>
  <c r="K75" i="16"/>
  <c r="K77" i="16"/>
  <c r="K79" i="16"/>
  <c r="K81" i="16"/>
  <c r="K83" i="16"/>
  <c r="K85" i="16"/>
  <c r="K87" i="16"/>
  <c r="K89" i="16"/>
  <c r="K91" i="16"/>
  <c r="K93" i="16"/>
  <c r="K15" i="16"/>
  <c r="G15" i="16"/>
  <c r="G16" i="16"/>
  <c r="G45" i="16"/>
  <c r="G14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19" i="16"/>
  <c r="E55" i="16"/>
  <c r="E56" i="16"/>
  <c r="E57" i="16"/>
  <c r="E58" i="16"/>
  <c r="E60" i="16"/>
  <c r="E61" i="16"/>
  <c r="G61" i="16" s="1"/>
  <c r="E62" i="16"/>
  <c r="E63" i="16"/>
  <c r="G63" i="16" s="1"/>
  <c r="E64" i="16"/>
  <c r="E66" i="16"/>
  <c r="G66" i="16" s="1"/>
  <c r="E67" i="16"/>
  <c r="G67" i="16" s="1"/>
  <c r="E68" i="16"/>
  <c r="E69" i="16"/>
  <c r="G69" i="16" s="1"/>
  <c r="E70" i="16"/>
  <c r="G70" i="16" s="1"/>
  <c r="E72" i="16"/>
  <c r="E73" i="16"/>
  <c r="E74" i="16"/>
  <c r="E75" i="16"/>
  <c r="E76" i="16"/>
  <c r="E78" i="16"/>
  <c r="E79" i="16"/>
  <c r="E80" i="16"/>
  <c r="E81" i="16"/>
  <c r="G81" i="16" s="1"/>
  <c r="E82" i="16"/>
  <c r="E84" i="16"/>
  <c r="E85" i="16"/>
  <c r="G85" i="16" s="1"/>
  <c r="E86" i="16"/>
  <c r="E87" i="16"/>
  <c r="G87" i="16" s="1"/>
  <c r="E88" i="16"/>
  <c r="E90" i="16"/>
  <c r="G90" i="16" s="1"/>
  <c r="E91" i="16"/>
  <c r="G91" i="16" s="1"/>
  <c r="E92" i="16"/>
  <c r="E93" i="16"/>
  <c r="G93" i="16" s="1"/>
  <c r="E94" i="16"/>
  <c r="G94" i="16" s="1"/>
  <c r="E96" i="16"/>
  <c r="E97" i="16"/>
  <c r="G97" i="16" s="1"/>
  <c r="E98" i="16"/>
  <c r="E99" i="16"/>
  <c r="E100" i="16"/>
  <c r="E102" i="16"/>
  <c r="E103" i="16"/>
  <c r="E104" i="16"/>
  <c r="E105" i="16"/>
  <c r="E106" i="16"/>
  <c r="E108" i="16"/>
  <c r="E109" i="16"/>
  <c r="E110" i="16"/>
  <c r="E111" i="16"/>
  <c r="G111" i="16" s="1"/>
  <c r="E112" i="16"/>
  <c r="E114" i="16"/>
  <c r="E115" i="16"/>
  <c r="G115" i="16" s="1"/>
  <c r="E116" i="16"/>
  <c r="E117" i="16"/>
  <c r="G117" i="16" s="1"/>
  <c r="E118" i="16"/>
  <c r="E120" i="16"/>
  <c r="E121" i="16"/>
  <c r="G121" i="16" s="1"/>
  <c r="E122" i="16"/>
  <c r="E123" i="16"/>
  <c r="E124" i="16"/>
  <c r="E126" i="16"/>
  <c r="E127" i="16"/>
  <c r="E128" i="16"/>
  <c r="E129" i="16"/>
  <c r="G129" i="16" s="1"/>
  <c r="E130" i="16"/>
  <c r="E132" i="16"/>
  <c r="E133" i="16"/>
  <c r="E134" i="16"/>
  <c r="E135" i="16"/>
  <c r="G135" i="16" s="1"/>
  <c r="E136" i="16"/>
  <c r="E138" i="16"/>
  <c r="E139" i="16"/>
  <c r="G139" i="16" s="1"/>
  <c r="E140" i="16"/>
  <c r="E141" i="16"/>
  <c r="G141" i="16" s="1"/>
  <c r="E142" i="16"/>
  <c r="E144" i="16"/>
  <c r="E145" i="16"/>
  <c r="G145" i="16" s="1"/>
  <c r="E146" i="16"/>
  <c r="E147" i="16"/>
  <c r="E148" i="16"/>
  <c r="E150" i="16"/>
  <c r="E151" i="16"/>
  <c r="E152" i="16"/>
  <c r="E153" i="16"/>
  <c r="E154" i="16"/>
  <c r="E156" i="16"/>
  <c r="E157" i="16"/>
  <c r="E158" i="16"/>
  <c r="E159" i="16"/>
  <c r="G159" i="16" s="1"/>
  <c r="E160" i="16"/>
  <c r="E162" i="16"/>
  <c r="E163" i="16"/>
  <c r="G163" i="16" s="1"/>
  <c r="E164" i="16"/>
  <c r="E165" i="16"/>
  <c r="G165" i="16" s="1"/>
  <c r="E166" i="16"/>
  <c r="E168" i="16"/>
  <c r="E169" i="16"/>
  <c r="G169" i="16" s="1"/>
  <c r="E170" i="16"/>
  <c r="E171" i="16"/>
  <c r="E172" i="16"/>
  <c r="E174" i="16"/>
  <c r="E175" i="16"/>
  <c r="E176" i="16"/>
  <c r="E177" i="16"/>
  <c r="G177" i="16" s="1"/>
  <c r="E178" i="16"/>
  <c r="E180" i="16"/>
  <c r="E181" i="16"/>
  <c r="E182" i="16"/>
  <c r="E183" i="16"/>
  <c r="G183" i="16" s="1"/>
  <c r="E184" i="16"/>
  <c r="E186" i="16"/>
  <c r="E187" i="16"/>
  <c r="G187" i="16" s="1"/>
  <c r="E188" i="16"/>
  <c r="E189" i="16"/>
  <c r="G189" i="16" s="1"/>
  <c r="E190" i="16"/>
  <c r="E192" i="16"/>
  <c r="E193" i="16"/>
  <c r="G193" i="16" s="1"/>
  <c r="E194" i="16"/>
  <c r="E195" i="16"/>
  <c r="E196" i="16"/>
  <c r="E198" i="16"/>
  <c r="E199" i="16"/>
  <c r="E200" i="16"/>
  <c r="E201" i="16"/>
  <c r="E202" i="16"/>
  <c r="E204" i="16"/>
  <c r="E205" i="16"/>
  <c r="E206" i="16"/>
  <c r="E207" i="16"/>
  <c r="G207" i="16" s="1"/>
  <c r="E208" i="16"/>
  <c r="E210" i="16"/>
  <c r="E211" i="16"/>
  <c r="G211" i="16" s="1"/>
  <c r="E212" i="16"/>
  <c r="E213" i="16"/>
  <c r="G213" i="16" s="1"/>
  <c r="E214" i="16"/>
  <c r="E216" i="16"/>
  <c r="E217" i="16"/>
  <c r="G217" i="16" s="1"/>
  <c r="E218" i="16"/>
  <c r="E219" i="16"/>
  <c r="E220" i="16"/>
  <c r="E222" i="16"/>
  <c r="G222" i="16" s="1"/>
  <c r="E223" i="16"/>
  <c r="E224" i="16"/>
  <c r="E225" i="16"/>
  <c r="G225" i="16" s="1"/>
  <c r="E226" i="16"/>
  <c r="G226" i="16" s="1"/>
  <c r="E228" i="16"/>
  <c r="E229" i="16"/>
  <c r="E230" i="16"/>
  <c r="E231" i="16"/>
  <c r="G231" i="16" s="1"/>
  <c r="E232" i="16"/>
  <c r="E234" i="16"/>
  <c r="E235" i="16"/>
  <c r="G235" i="16" s="1"/>
  <c r="E236" i="16"/>
  <c r="E237" i="16"/>
  <c r="E238" i="16"/>
  <c r="E240" i="16"/>
  <c r="E241" i="16"/>
  <c r="G241" i="16" s="1"/>
  <c r="E242" i="16"/>
  <c r="E243" i="16"/>
  <c r="E244" i="16"/>
  <c r="E246" i="16"/>
  <c r="G246" i="16" s="1"/>
  <c r="E247" i="16"/>
  <c r="E248" i="16"/>
  <c r="E249" i="16"/>
  <c r="G249" i="16" s="1"/>
  <c r="E250" i="16"/>
  <c r="G250" i="16" s="1"/>
  <c r="E252" i="16"/>
  <c r="E253" i="16"/>
  <c r="E254" i="16"/>
  <c r="E255" i="16"/>
  <c r="G255" i="16" s="1"/>
  <c r="E256" i="16"/>
  <c r="G256" i="16" s="1"/>
  <c r="E258" i="16"/>
  <c r="E259" i="16"/>
  <c r="G259" i="16" s="1"/>
  <c r="E18" i="16"/>
  <c r="G18" i="16" s="1"/>
  <c r="E19" i="16"/>
  <c r="E20" i="16"/>
  <c r="E21" i="16"/>
  <c r="G21" i="16" s="1"/>
  <c r="E22" i="16"/>
  <c r="G22" i="16" s="1"/>
  <c r="E24" i="16"/>
  <c r="E25" i="16"/>
  <c r="E26" i="16"/>
  <c r="E27" i="16"/>
  <c r="G27" i="16" s="1"/>
  <c r="E28" i="16"/>
  <c r="E30" i="16"/>
  <c r="E31" i="16"/>
  <c r="G31" i="16" s="1"/>
  <c r="E32" i="16"/>
  <c r="E33" i="16"/>
  <c r="G33" i="16" s="1"/>
  <c r="E34" i="16"/>
  <c r="E36" i="16"/>
  <c r="E37" i="16"/>
  <c r="G37" i="16" s="1"/>
  <c r="E38" i="16"/>
  <c r="E39" i="16"/>
  <c r="E40" i="16"/>
  <c r="E42" i="16"/>
  <c r="G42" i="16" s="1"/>
  <c r="E43" i="16"/>
  <c r="E44" i="16"/>
  <c r="E45" i="16"/>
  <c r="E46" i="16"/>
  <c r="G46" i="16" s="1"/>
  <c r="E48" i="16"/>
  <c r="E49" i="16"/>
  <c r="G49" i="16" s="1"/>
  <c r="E50" i="16"/>
  <c r="E51" i="16"/>
  <c r="G51" i="16" s="1"/>
  <c r="E52" i="16"/>
  <c r="E54" i="16"/>
  <c r="E17" i="16"/>
  <c r="G17" i="16" s="1"/>
  <c r="C26" i="16"/>
  <c r="E29" i="16" s="1"/>
  <c r="G29" i="16" s="1"/>
  <c r="C32" i="16"/>
  <c r="C38" i="16"/>
  <c r="C44" i="16"/>
  <c r="E47" i="16" s="1"/>
  <c r="G47" i="16" s="1"/>
  <c r="C50" i="16"/>
  <c r="E53" i="16" s="1"/>
  <c r="G53" i="16" s="1"/>
  <c r="C56" i="16"/>
  <c r="C62" i="16"/>
  <c r="C68" i="16"/>
  <c r="E71" i="16" s="1"/>
  <c r="G71" i="16" s="1"/>
  <c r="C74" i="16"/>
  <c r="E77" i="16" s="1"/>
  <c r="G77" i="16" s="1"/>
  <c r="C80" i="16"/>
  <c r="C86" i="16"/>
  <c r="C92" i="16"/>
  <c r="E95" i="16" s="1"/>
  <c r="G95" i="16" s="1"/>
  <c r="C98" i="16"/>
  <c r="E101" i="16" s="1"/>
  <c r="G101" i="16" s="1"/>
  <c r="C104" i="16"/>
  <c r="C110" i="16"/>
  <c r="C116" i="16"/>
  <c r="E119" i="16" s="1"/>
  <c r="G119" i="16" s="1"/>
  <c r="C122" i="16"/>
  <c r="E125" i="16" s="1"/>
  <c r="G125" i="16" s="1"/>
  <c r="C128" i="16"/>
  <c r="C134" i="16"/>
  <c r="C140" i="16"/>
  <c r="E143" i="16" s="1"/>
  <c r="G143" i="16" s="1"/>
  <c r="C146" i="16"/>
  <c r="E149" i="16" s="1"/>
  <c r="G149" i="16" s="1"/>
  <c r="C152" i="16"/>
  <c r="C158" i="16"/>
  <c r="C164" i="16"/>
  <c r="E167" i="16" s="1"/>
  <c r="G167" i="16" s="1"/>
  <c r="C170" i="16"/>
  <c r="E173" i="16" s="1"/>
  <c r="G173" i="16" s="1"/>
  <c r="C176" i="16"/>
  <c r="C182" i="16"/>
  <c r="C188" i="16"/>
  <c r="E191" i="16" s="1"/>
  <c r="G191" i="16" s="1"/>
  <c r="C194" i="16"/>
  <c r="E197" i="16" s="1"/>
  <c r="G197" i="16" s="1"/>
  <c r="C200" i="16"/>
  <c r="C206" i="16"/>
  <c r="C212" i="16"/>
  <c r="E215" i="16" s="1"/>
  <c r="G215" i="16" s="1"/>
  <c r="C218" i="16"/>
  <c r="E221" i="16" s="1"/>
  <c r="G221" i="16" s="1"/>
  <c r="C224" i="16"/>
  <c r="E227" i="16" s="1"/>
  <c r="C230" i="16"/>
  <c r="C236" i="16"/>
  <c r="E239" i="16" s="1"/>
  <c r="G239" i="16" s="1"/>
  <c r="C242" i="16"/>
  <c r="E245" i="16" s="1"/>
  <c r="G245" i="16" s="1"/>
  <c r="C248" i="16"/>
  <c r="E251" i="16" s="1"/>
  <c r="C254" i="16"/>
  <c r="C20" i="16"/>
  <c r="E23" i="16" s="1"/>
  <c r="G23" i="16" s="1"/>
  <c r="H11" i="19" l="1"/>
  <c r="K11" i="19" s="1"/>
  <c r="J10" i="19"/>
  <c r="I21" i="17"/>
  <c r="I9" i="17"/>
  <c r="I13" i="17"/>
  <c r="I17" i="17"/>
  <c r="J17" i="17" s="1"/>
  <c r="I11" i="17"/>
  <c r="I15" i="17"/>
  <c r="I19" i="17"/>
  <c r="J19" i="17" s="1"/>
  <c r="I18" i="17"/>
  <c r="J18" i="17" s="1"/>
  <c r="I20" i="17"/>
  <c r="I14" i="17"/>
  <c r="I16" i="17"/>
  <c r="J16" i="17" s="1"/>
  <c r="I10" i="17"/>
  <c r="J10" i="17" s="1"/>
  <c r="I12" i="17"/>
  <c r="I7" i="17"/>
  <c r="I8" i="17"/>
  <c r="J21" i="17"/>
  <c r="G8" i="18"/>
  <c r="G9" i="18"/>
  <c r="U9" i="18" s="1"/>
  <c r="G11" i="18"/>
  <c r="U11" i="18" s="1"/>
  <c r="G13" i="18"/>
  <c r="U13" i="18" s="1"/>
  <c r="G15" i="18"/>
  <c r="U15" i="18" s="1"/>
  <c r="G17" i="18"/>
  <c r="U17" i="18" s="1"/>
  <c r="G19" i="18"/>
  <c r="U19" i="18" s="1"/>
  <c r="G21" i="18"/>
  <c r="U21" i="18" s="1"/>
  <c r="J14" i="17"/>
  <c r="J8" i="17"/>
  <c r="J12" i="17"/>
  <c r="J20" i="17"/>
  <c r="P8" i="18"/>
  <c r="Z8" i="18"/>
  <c r="AA8" i="18" s="1"/>
  <c r="P12" i="18"/>
  <c r="Z12" i="18"/>
  <c r="P16" i="18"/>
  <c r="Z16" i="18"/>
  <c r="P22" i="18"/>
  <c r="Z22" i="18"/>
  <c r="P9" i="18"/>
  <c r="Z9" i="18"/>
  <c r="P11" i="18"/>
  <c r="Z11" i="18"/>
  <c r="P13" i="18"/>
  <c r="Z13" i="18"/>
  <c r="P15" i="18"/>
  <c r="Z15" i="18"/>
  <c r="P17" i="18"/>
  <c r="Z17" i="18"/>
  <c r="P19" i="18"/>
  <c r="Z19" i="18"/>
  <c r="P21" i="18"/>
  <c r="Z21" i="18"/>
  <c r="P10" i="18"/>
  <c r="Z10" i="18"/>
  <c r="P14" i="18"/>
  <c r="Z14" i="18"/>
  <c r="P18" i="18"/>
  <c r="Z18" i="18"/>
  <c r="P20" i="18"/>
  <c r="Z20" i="18"/>
  <c r="I12" i="18"/>
  <c r="V12" i="18" s="1"/>
  <c r="I16" i="18"/>
  <c r="V16" i="18" s="1"/>
  <c r="I18" i="18"/>
  <c r="V18" i="18" s="1"/>
  <c r="I22" i="18"/>
  <c r="V22" i="18" s="1"/>
  <c r="I10" i="18"/>
  <c r="V10" i="18" s="1"/>
  <c r="I14" i="18"/>
  <c r="V14" i="18" s="1"/>
  <c r="I20" i="18"/>
  <c r="V20" i="18" s="1"/>
  <c r="I9" i="18"/>
  <c r="V9" i="18" s="1"/>
  <c r="I8" i="18"/>
  <c r="V8" i="18" s="1"/>
  <c r="I11" i="18"/>
  <c r="V11" i="18" s="1"/>
  <c r="I13" i="18"/>
  <c r="V13" i="18" s="1"/>
  <c r="I15" i="18"/>
  <c r="V15" i="18" s="1"/>
  <c r="I17" i="18"/>
  <c r="V17" i="18" s="1"/>
  <c r="I19" i="18"/>
  <c r="V19" i="18" s="1"/>
  <c r="I21" i="18"/>
  <c r="V21" i="18" s="1"/>
  <c r="O19" i="18"/>
  <c r="O15" i="18"/>
  <c r="R15" i="18" s="1"/>
  <c r="O20" i="18"/>
  <c r="R20" i="18" s="1"/>
  <c r="O11" i="18"/>
  <c r="O16" i="18"/>
  <c r="O14" i="18"/>
  <c r="R14" i="18" s="1"/>
  <c r="O9" i="18"/>
  <c r="R9" i="18" s="1"/>
  <c r="O22" i="18"/>
  <c r="O8" i="18"/>
  <c r="O17" i="18"/>
  <c r="R17" i="18" s="1"/>
  <c r="O18" i="18"/>
  <c r="R18" i="18" s="1"/>
  <c r="O13" i="18"/>
  <c r="O12" i="18"/>
  <c r="O21" i="18"/>
  <c r="R21" i="18" s="1"/>
  <c r="O10" i="18"/>
  <c r="R10" i="18" s="1"/>
  <c r="J7" i="17"/>
  <c r="J9" i="17"/>
  <c r="J11" i="17"/>
  <c r="J13" i="17"/>
  <c r="J15" i="17"/>
  <c r="G216" i="16"/>
  <c r="G192" i="16"/>
  <c r="G172" i="16"/>
  <c r="G148" i="16"/>
  <c r="G124" i="16"/>
  <c r="G120" i="16"/>
  <c r="G100" i="16"/>
  <c r="G76" i="16"/>
  <c r="G39" i="16"/>
  <c r="G243" i="16"/>
  <c r="G219" i="16"/>
  <c r="G195" i="16"/>
  <c r="G171" i="16"/>
  <c r="G147" i="16"/>
  <c r="G123" i="16"/>
  <c r="G99" i="16"/>
  <c r="G75" i="16"/>
  <c r="G240" i="16"/>
  <c r="G196" i="16"/>
  <c r="G168" i="16"/>
  <c r="G144" i="16"/>
  <c r="G96" i="16"/>
  <c r="G72" i="16"/>
  <c r="G251" i="16"/>
  <c r="G227" i="16"/>
  <c r="G52" i="16"/>
  <c r="G48" i="16"/>
  <c r="G43" i="16"/>
  <c r="G28" i="16"/>
  <c r="G24" i="16"/>
  <c r="G19" i="16"/>
  <c r="G252" i="16"/>
  <c r="G247" i="16"/>
  <c r="G232" i="16"/>
  <c r="G228" i="16"/>
  <c r="G223" i="16"/>
  <c r="G199" i="16"/>
  <c r="G175" i="16"/>
  <c r="G151" i="16"/>
  <c r="G127" i="16"/>
  <c r="G103" i="16"/>
  <c r="G79" i="16"/>
  <c r="G55" i="16"/>
  <c r="G205" i="16"/>
  <c r="G181" i="16"/>
  <c r="G133" i="16"/>
  <c r="G224" i="16"/>
  <c r="G202" i="16"/>
  <c r="G174" i="16"/>
  <c r="G150" i="16"/>
  <c r="G130" i="16"/>
  <c r="G102" i="16"/>
  <c r="G86" i="16"/>
  <c r="G30" i="16"/>
  <c r="G20" i="16"/>
  <c r="G253" i="16"/>
  <c r="G238" i="16"/>
  <c r="G234" i="16"/>
  <c r="G229" i="16"/>
  <c r="G201" i="16"/>
  <c r="G153" i="16"/>
  <c r="G105" i="16"/>
  <c r="G92" i="16"/>
  <c r="G82" i="16"/>
  <c r="G78" i="16"/>
  <c r="G73" i="16"/>
  <c r="G68" i="16"/>
  <c r="G58" i="16"/>
  <c r="G244" i="16"/>
  <c r="G236" i="16"/>
  <c r="G220" i="16"/>
  <c r="G212" i="16"/>
  <c r="G208" i="16"/>
  <c r="G204" i="16"/>
  <c r="G188" i="16"/>
  <c r="G184" i="16"/>
  <c r="G180" i="16"/>
  <c r="G164" i="16"/>
  <c r="G160" i="16"/>
  <c r="G156" i="16"/>
  <c r="G140" i="16"/>
  <c r="G136" i="16"/>
  <c r="G132" i="16"/>
  <c r="G116" i="16"/>
  <c r="G112" i="16"/>
  <c r="G108" i="16"/>
  <c r="G88" i="16"/>
  <c r="G84" i="16"/>
  <c r="G64" i="16"/>
  <c r="G60" i="16"/>
  <c r="G40" i="16"/>
  <c r="G36" i="16"/>
  <c r="G248" i="16"/>
  <c r="G198" i="16"/>
  <c r="G178" i="16"/>
  <c r="G154" i="16"/>
  <c r="G126" i="16"/>
  <c r="G106" i="16"/>
  <c r="G230" i="16"/>
  <c r="G182" i="16"/>
  <c r="G134" i="16"/>
  <c r="G54" i="16"/>
  <c r="G44" i="16"/>
  <c r="G34" i="16"/>
  <c r="G25" i="16"/>
  <c r="G258" i="16"/>
  <c r="G237" i="16"/>
  <c r="G214" i="16"/>
  <c r="G210" i="16"/>
  <c r="G190" i="16"/>
  <c r="G186" i="16"/>
  <c r="G166" i="16"/>
  <c r="G162" i="16"/>
  <c r="G157" i="16"/>
  <c r="G142" i="16"/>
  <c r="G138" i="16"/>
  <c r="G118" i="16"/>
  <c r="G114" i="16"/>
  <c r="G109" i="16"/>
  <c r="G57" i="16"/>
  <c r="E113" i="16"/>
  <c r="G113" i="16" s="1"/>
  <c r="G110" i="16"/>
  <c r="E65" i="16"/>
  <c r="G65" i="16" s="1"/>
  <c r="G62" i="16"/>
  <c r="E257" i="16"/>
  <c r="G257" i="16" s="1"/>
  <c r="G254" i="16"/>
  <c r="E209" i="16"/>
  <c r="G209" i="16" s="1"/>
  <c r="G206" i="16"/>
  <c r="E161" i="16"/>
  <c r="G161" i="16" s="1"/>
  <c r="G158" i="16"/>
  <c r="E41" i="16"/>
  <c r="G41" i="16" s="1"/>
  <c r="G38" i="16"/>
  <c r="E203" i="16"/>
  <c r="G203" i="16" s="1"/>
  <c r="G200" i="16"/>
  <c r="E179" i="16"/>
  <c r="G179" i="16" s="1"/>
  <c r="G176" i="16"/>
  <c r="E155" i="16"/>
  <c r="G155" i="16" s="1"/>
  <c r="G152" i="16"/>
  <c r="E131" i="16"/>
  <c r="G131" i="16" s="1"/>
  <c r="G128" i="16"/>
  <c r="E107" i="16"/>
  <c r="G107" i="16" s="1"/>
  <c r="G104" i="16"/>
  <c r="E83" i="16"/>
  <c r="G83" i="16" s="1"/>
  <c r="G80" i="16"/>
  <c r="E59" i="16"/>
  <c r="G59" i="16" s="1"/>
  <c r="G56" i="16"/>
  <c r="E35" i="16"/>
  <c r="G35" i="16" s="1"/>
  <c r="G32" i="16"/>
  <c r="G242" i="16"/>
  <c r="G218" i="16"/>
  <c r="G194" i="16"/>
  <c r="G170" i="16"/>
  <c r="G146" i="16"/>
  <c r="G122" i="16"/>
  <c r="G98" i="16"/>
  <c r="G74" i="16"/>
  <c r="G50" i="16"/>
  <c r="G26" i="16"/>
  <c r="E233" i="16"/>
  <c r="G233" i="16" s="1"/>
  <c r="E89" i="16"/>
  <c r="G89" i="16" s="1"/>
  <c r="E185" i="16"/>
  <c r="G185" i="16" s="1"/>
  <c r="E137" i="16"/>
  <c r="G137" i="16" s="1"/>
  <c r="H12" i="19" l="1"/>
  <c r="K12" i="19" s="1"/>
  <c r="J11" i="19"/>
  <c r="R11" i="18"/>
  <c r="H8" i="18"/>
  <c r="U8" i="18"/>
  <c r="W8" i="18" s="1"/>
  <c r="W9" i="18" s="1"/>
  <c r="W10" i="18" s="1"/>
  <c r="W11" i="18" s="1"/>
  <c r="W12" i="18" s="1"/>
  <c r="W13" i="18" s="1"/>
  <c r="W14" i="18" s="1"/>
  <c r="W15" i="18" s="1"/>
  <c r="W16" i="18" s="1"/>
  <c r="W17" i="18" s="1"/>
  <c r="W18" i="18" s="1"/>
  <c r="W19" i="18" s="1"/>
  <c r="W20" i="18" s="1"/>
  <c r="W21" i="18" s="1"/>
  <c r="W22" i="18" s="1"/>
  <c r="R8" i="18"/>
  <c r="R16" i="18"/>
  <c r="R19" i="18"/>
  <c r="AA9" i="18"/>
  <c r="AA10" i="18" s="1"/>
  <c r="AA11" i="18" s="1"/>
  <c r="AA12" i="18" s="1"/>
  <c r="AA13" i="18" s="1"/>
  <c r="AA14" i="18" s="1"/>
  <c r="AA15" i="18" s="1"/>
  <c r="AA16" i="18" s="1"/>
  <c r="AA17" i="18" s="1"/>
  <c r="AA18" i="18" s="1"/>
  <c r="AA19" i="18" s="1"/>
  <c r="AA20" i="18" s="1"/>
  <c r="AA21" i="18" s="1"/>
  <c r="AA22" i="18" s="1"/>
  <c r="R12" i="18"/>
  <c r="R13" i="18"/>
  <c r="R22" i="18"/>
  <c r="B9" i="16"/>
  <c r="B10" i="16" s="1"/>
  <c r="H13" i="19" l="1"/>
  <c r="K13" i="19" s="1"/>
  <c r="J12" i="19"/>
  <c r="Q24" i="18"/>
  <c r="P24" i="18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D12" i="13"/>
  <c r="C12" i="13"/>
  <c r="D11" i="13"/>
  <c r="C11" i="13"/>
  <c r="D10" i="13"/>
  <c r="C10" i="13"/>
  <c r="D9" i="13"/>
  <c r="C9" i="13"/>
  <c r="D8" i="13"/>
  <c r="C8" i="13"/>
  <c r="Q2" i="13"/>
  <c r="J3" i="13"/>
  <c r="D21" i="12"/>
  <c r="C21" i="15" s="1"/>
  <c r="C21" i="12"/>
  <c r="D20" i="12"/>
  <c r="J20" i="12" s="1"/>
  <c r="C20" i="12"/>
  <c r="F20" i="12" s="1"/>
  <c r="D19" i="12"/>
  <c r="J19" i="12" s="1"/>
  <c r="C19" i="12"/>
  <c r="F19" i="12" s="1"/>
  <c r="D18" i="12"/>
  <c r="J18" i="12" s="1"/>
  <c r="C18" i="12"/>
  <c r="F18" i="12" s="1"/>
  <c r="D17" i="12"/>
  <c r="J17" i="12" s="1"/>
  <c r="C17" i="12"/>
  <c r="F17" i="12" s="1"/>
  <c r="D16" i="12"/>
  <c r="J16" i="12" s="1"/>
  <c r="C16" i="12"/>
  <c r="F16" i="12" s="1"/>
  <c r="D15" i="12"/>
  <c r="J15" i="12" s="1"/>
  <c r="C15" i="12"/>
  <c r="F15" i="12" s="1"/>
  <c r="D14" i="12"/>
  <c r="J14" i="12" s="1"/>
  <c r="C14" i="12"/>
  <c r="F14" i="12" s="1"/>
  <c r="D13" i="12"/>
  <c r="J13" i="12" s="1"/>
  <c r="C13" i="12"/>
  <c r="F13" i="12" s="1"/>
  <c r="D12" i="12"/>
  <c r="J12" i="12" s="1"/>
  <c r="C12" i="12"/>
  <c r="F12" i="12" s="1"/>
  <c r="D11" i="12"/>
  <c r="J11" i="12" s="1"/>
  <c r="C11" i="12"/>
  <c r="F11" i="12" s="1"/>
  <c r="D10" i="12"/>
  <c r="J10" i="12" s="1"/>
  <c r="C10" i="12"/>
  <c r="F10" i="12" s="1"/>
  <c r="D9" i="12"/>
  <c r="J9" i="12" s="1"/>
  <c r="C9" i="12"/>
  <c r="F9" i="12" s="1"/>
  <c r="D8" i="12"/>
  <c r="J8" i="12" s="1"/>
  <c r="C8" i="12"/>
  <c r="F8" i="12" s="1"/>
  <c r="D7" i="12"/>
  <c r="J7" i="12" s="1"/>
  <c r="C7" i="12"/>
  <c r="F7" i="12" s="1"/>
  <c r="P21" i="11"/>
  <c r="M21" i="11"/>
  <c r="N21" i="11" s="1"/>
  <c r="F21" i="11"/>
  <c r="C21" i="11"/>
  <c r="D21" i="11" s="1"/>
  <c r="P20" i="11"/>
  <c r="M20" i="11"/>
  <c r="N20" i="11" s="1"/>
  <c r="F20" i="11"/>
  <c r="C20" i="11"/>
  <c r="D20" i="11" s="1"/>
  <c r="P19" i="11"/>
  <c r="M19" i="11"/>
  <c r="F19" i="11"/>
  <c r="C19" i="11"/>
  <c r="P18" i="11"/>
  <c r="N18" i="11"/>
  <c r="M18" i="11"/>
  <c r="F18" i="11"/>
  <c r="C18" i="11"/>
  <c r="D18" i="11" s="1"/>
  <c r="P17" i="11"/>
  <c r="M17" i="11"/>
  <c r="N17" i="11" s="1"/>
  <c r="F17" i="11"/>
  <c r="C17" i="11"/>
  <c r="D17" i="11" s="1"/>
  <c r="P16" i="11"/>
  <c r="M16" i="11"/>
  <c r="N16" i="11" s="1"/>
  <c r="F16" i="11"/>
  <c r="C16" i="11"/>
  <c r="D16" i="11" s="1"/>
  <c r="P15" i="11"/>
  <c r="M15" i="11"/>
  <c r="F15" i="11"/>
  <c r="C15" i="11"/>
  <c r="D15" i="11" s="1"/>
  <c r="P14" i="11"/>
  <c r="M14" i="11"/>
  <c r="N14" i="11" s="1"/>
  <c r="F14" i="11"/>
  <c r="C14" i="11"/>
  <c r="D14" i="11" s="1"/>
  <c r="P13" i="11"/>
  <c r="M13" i="11"/>
  <c r="F13" i="11"/>
  <c r="C13" i="11"/>
  <c r="P12" i="11"/>
  <c r="N12" i="11"/>
  <c r="M12" i="11"/>
  <c r="F12" i="11"/>
  <c r="C12" i="11"/>
  <c r="P11" i="11"/>
  <c r="M11" i="11"/>
  <c r="F11" i="11"/>
  <c r="C11" i="11"/>
  <c r="D11" i="11" s="1"/>
  <c r="P10" i="11"/>
  <c r="M10" i="11"/>
  <c r="N10" i="11" s="1"/>
  <c r="F10" i="11"/>
  <c r="D10" i="11"/>
  <c r="C10" i="11"/>
  <c r="P9" i="11"/>
  <c r="M9" i="11"/>
  <c r="N9" i="11" s="1"/>
  <c r="F9" i="11"/>
  <c r="C9" i="11"/>
  <c r="P8" i="11"/>
  <c r="N8" i="11"/>
  <c r="M8" i="11"/>
  <c r="F8" i="11"/>
  <c r="C8" i="11"/>
  <c r="G8" i="11" s="1"/>
  <c r="P7" i="11"/>
  <c r="M7" i="11"/>
  <c r="H7" i="11"/>
  <c r="F7" i="11"/>
  <c r="C7" i="11"/>
  <c r="D7" i="11" s="1"/>
  <c r="E8" i="11" s="1"/>
  <c r="L21" i="10"/>
  <c r="M21" i="10" s="1"/>
  <c r="O21" i="10" s="1"/>
  <c r="C21" i="10"/>
  <c r="D21" i="10" s="1"/>
  <c r="G21" i="10" s="1"/>
  <c r="L20" i="10"/>
  <c r="M20" i="10" s="1"/>
  <c r="D20" i="10"/>
  <c r="G20" i="10" s="1"/>
  <c r="C20" i="10"/>
  <c r="L19" i="10"/>
  <c r="M19" i="10" s="1"/>
  <c r="C19" i="10"/>
  <c r="D19" i="10" s="1"/>
  <c r="L18" i="10"/>
  <c r="M18" i="10" s="1"/>
  <c r="C18" i="10"/>
  <c r="D18" i="10" s="1"/>
  <c r="L17" i="10"/>
  <c r="M17" i="10" s="1"/>
  <c r="C17" i="10"/>
  <c r="D17" i="10" s="1"/>
  <c r="L16" i="10"/>
  <c r="M16" i="10" s="1"/>
  <c r="C16" i="10"/>
  <c r="M15" i="10"/>
  <c r="L15" i="10"/>
  <c r="C15" i="10"/>
  <c r="D15" i="10" s="1"/>
  <c r="M14" i="10"/>
  <c r="L14" i="10"/>
  <c r="C14" i="10"/>
  <c r="D14" i="10" s="1"/>
  <c r="L13" i="10"/>
  <c r="M13" i="10" s="1"/>
  <c r="D13" i="10"/>
  <c r="C13" i="10"/>
  <c r="L12" i="10"/>
  <c r="M12" i="10" s="1"/>
  <c r="C12" i="10"/>
  <c r="L11" i="10"/>
  <c r="M11" i="10" s="1"/>
  <c r="C11" i="10"/>
  <c r="D11" i="10" s="1"/>
  <c r="L10" i="10"/>
  <c r="M10" i="10" s="1"/>
  <c r="C10" i="10"/>
  <c r="D10" i="10" s="1"/>
  <c r="L9" i="10"/>
  <c r="M9" i="10" s="1"/>
  <c r="D9" i="10"/>
  <c r="C9" i="10"/>
  <c r="L8" i="10"/>
  <c r="M8" i="10" s="1"/>
  <c r="C8" i="10"/>
  <c r="D8" i="10" s="1"/>
  <c r="L7" i="10"/>
  <c r="M7" i="10" s="1"/>
  <c r="N8" i="10" s="1"/>
  <c r="C7" i="10"/>
  <c r="W29" i="7"/>
  <c r="P29" i="7"/>
  <c r="H29" i="7"/>
  <c r="W28" i="7"/>
  <c r="P28" i="7"/>
  <c r="H28" i="7"/>
  <c r="W27" i="7"/>
  <c r="P27" i="7"/>
  <c r="H27" i="7"/>
  <c r="W26" i="7"/>
  <c r="P26" i="7"/>
  <c r="H26" i="7"/>
  <c r="W25" i="7"/>
  <c r="P25" i="7"/>
  <c r="H25" i="7"/>
  <c r="W24" i="7"/>
  <c r="P24" i="7"/>
  <c r="H24" i="7"/>
  <c r="W23" i="7"/>
  <c r="P23" i="7"/>
  <c r="H23" i="7"/>
  <c r="W22" i="7"/>
  <c r="P22" i="7"/>
  <c r="H22" i="7"/>
  <c r="W21" i="7"/>
  <c r="P21" i="7"/>
  <c r="H21" i="7"/>
  <c r="W20" i="7"/>
  <c r="P20" i="7"/>
  <c r="H20" i="7"/>
  <c r="W19" i="7"/>
  <c r="P19" i="7"/>
  <c r="H19" i="7"/>
  <c r="W18" i="7"/>
  <c r="P18" i="7"/>
  <c r="H18" i="7"/>
  <c r="W17" i="7"/>
  <c r="P17" i="7"/>
  <c r="H17" i="7"/>
  <c r="W16" i="7"/>
  <c r="P16" i="7"/>
  <c r="H16" i="7"/>
  <c r="W15" i="7"/>
  <c r="P15" i="7"/>
  <c r="H15" i="7"/>
  <c r="W14" i="7"/>
  <c r="P14" i="7"/>
  <c r="H14" i="7"/>
  <c r="W13" i="7"/>
  <c r="P13" i="7"/>
  <c r="H13" i="7"/>
  <c r="W12" i="7"/>
  <c r="P12" i="7"/>
  <c r="H12" i="7"/>
  <c r="W11" i="7"/>
  <c r="P11" i="7"/>
  <c r="H11" i="7"/>
  <c r="W10" i="7"/>
  <c r="P10" i="7"/>
  <c r="H10" i="7"/>
  <c r="W9" i="7"/>
  <c r="P9" i="7"/>
  <c r="H9" i="7"/>
  <c r="W8" i="7"/>
  <c r="P8" i="7"/>
  <c r="H8" i="7"/>
  <c r="W7" i="7"/>
  <c r="P7" i="7"/>
  <c r="H7" i="7"/>
  <c r="W6" i="7"/>
  <c r="P6" i="7"/>
  <c r="H6" i="7"/>
  <c r="W5" i="7"/>
  <c r="P5" i="7"/>
  <c r="H5" i="7"/>
  <c r="C5" i="7"/>
  <c r="Y3" i="7"/>
  <c r="U3" i="7"/>
  <c r="S3" i="7"/>
  <c r="Q3" i="7"/>
  <c r="E3" i="7"/>
  <c r="D3" i="7"/>
  <c r="C3" i="7"/>
  <c r="C24" i="7" s="1"/>
  <c r="Q2" i="7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E10" i="5"/>
  <c r="A10" i="5"/>
  <c r="A9" i="5"/>
  <c r="A8" i="5"/>
  <c r="A7" i="5"/>
  <c r="A6" i="5"/>
  <c r="A5" i="5"/>
  <c r="A4" i="5"/>
  <c r="A3" i="5"/>
  <c r="D29" i="4"/>
  <c r="D28" i="4"/>
  <c r="D27" i="4"/>
  <c r="D26" i="4"/>
  <c r="D25" i="4"/>
  <c r="D24" i="4"/>
  <c r="N24" i="4"/>
  <c r="D23" i="4"/>
  <c r="N23" i="4"/>
  <c r="D22" i="4"/>
  <c r="N22" i="4"/>
  <c r="D21" i="4"/>
  <c r="N21" i="4"/>
  <c r="D20" i="4"/>
  <c r="N20" i="4"/>
  <c r="D19" i="4"/>
  <c r="N19" i="4"/>
  <c r="D18" i="4"/>
  <c r="N18" i="4"/>
  <c r="D17" i="4"/>
  <c r="N17" i="4"/>
  <c r="D16" i="4"/>
  <c r="N16" i="4"/>
  <c r="D15" i="4"/>
  <c r="N15" i="4"/>
  <c r="D14" i="4"/>
  <c r="N14" i="4"/>
  <c r="D13" i="4"/>
  <c r="N13" i="4"/>
  <c r="D12" i="4"/>
  <c r="N12" i="4"/>
  <c r="D11" i="4"/>
  <c r="N11" i="4"/>
  <c r="D10" i="4"/>
  <c r="N10" i="4"/>
  <c r="D9" i="4"/>
  <c r="N9" i="4"/>
  <c r="D8" i="4"/>
  <c r="N8" i="4"/>
  <c r="D7" i="4"/>
  <c r="N7" i="4"/>
  <c r="D6" i="4"/>
  <c r="N6" i="4"/>
  <c r="D5" i="4"/>
  <c r="N5" i="4"/>
  <c r="E5" i="4"/>
  <c r="B3" i="5" s="1"/>
  <c r="D4" i="4"/>
  <c r="A2" i="2"/>
  <c r="E49" i="1"/>
  <c r="G49" i="1" s="1"/>
  <c r="D49" i="1"/>
  <c r="F49" i="1" s="1"/>
  <c r="C49" i="1"/>
  <c r="G48" i="1"/>
  <c r="D48" i="1"/>
  <c r="F48" i="1" s="1"/>
  <c r="H48" i="1" s="1"/>
  <c r="C48" i="1"/>
  <c r="G47" i="1"/>
  <c r="D47" i="1"/>
  <c r="F47" i="1" s="1"/>
  <c r="C47" i="1"/>
  <c r="G46" i="1"/>
  <c r="D46" i="1"/>
  <c r="F46" i="1" s="1"/>
  <c r="C46" i="1"/>
  <c r="G45" i="1"/>
  <c r="D45" i="1"/>
  <c r="F45" i="1" s="1"/>
  <c r="C45" i="1"/>
  <c r="G44" i="1"/>
  <c r="D44" i="1"/>
  <c r="F44" i="1" s="1"/>
  <c r="C44" i="1"/>
  <c r="G43" i="1"/>
  <c r="D43" i="1"/>
  <c r="F43" i="1" s="1"/>
  <c r="C43" i="1"/>
  <c r="G42" i="1"/>
  <c r="D42" i="1"/>
  <c r="F42" i="1" s="1"/>
  <c r="C42" i="1"/>
  <c r="G41" i="1"/>
  <c r="D41" i="1"/>
  <c r="C41" i="1"/>
  <c r="G40" i="1"/>
  <c r="F40" i="1"/>
  <c r="H40" i="1" s="1"/>
  <c r="D40" i="1"/>
  <c r="C40" i="1"/>
  <c r="G39" i="1"/>
  <c r="D39" i="1"/>
  <c r="F39" i="1" s="1"/>
  <c r="C39" i="1"/>
  <c r="G38" i="1"/>
  <c r="D38" i="1"/>
  <c r="C38" i="1"/>
  <c r="G37" i="1"/>
  <c r="D37" i="1"/>
  <c r="F37" i="1" s="1"/>
  <c r="C37" i="1"/>
  <c r="G36" i="1"/>
  <c r="D36" i="1"/>
  <c r="F36" i="1" s="1"/>
  <c r="C36" i="1"/>
  <c r="G35" i="1"/>
  <c r="D35" i="1"/>
  <c r="F35" i="1" s="1"/>
  <c r="C35" i="1"/>
  <c r="G34" i="1"/>
  <c r="D34" i="1"/>
  <c r="C34" i="1"/>
  <c r="G33" i="1"/>
  <c r="D33" i="1"/>
  <c r="C33" i="1"/>
  <c r="G32" i="1"/>
  <c r="D32" i="1"/>
  <c r="F32" i="1" s="1"/>
  <c r="C32" i="1"/>
  <c r="G31" i="1"/>
  <c r="D31" i="1"/>
  <c r="F31" i="1" s="1"/>
  <c r="C31" i="1"/>
  <c r="G30" i="1"/>
  <c r="D30" i="1"/>
  <c r="C30" i="1"/>
  <c r="G29" i="1"/>
  <c r="D29" i="1"/>
  <c r="C29" i="1"/>
  <c r="G28" i="1"/>
  <c r="D28" i="1"/>
  <c r="F28" i="1" s="1"/>
  <c r="C28" i="1"/>
  <c r="G27" i="1"/>
  <c r="D27" i="1"/>
  <c r="F27" i="1" s="1"/>
  <c r="C27" i="1"/>
  <c r="G26" i="1"/>
  <c r="D26" i="1"/>
  <c r="C26" i="1"/>
  <c r="G25" i="1"/>
  <c r="D25" i="1"/>
  <c r="C25" i="1"/>
  <c r="G24" i="1"/>
  <c r="D24" i="1"/>
  <c r="F24" i="1" s="1"/>
  <c r="C24" i="1"/>
  <c r="G23" i="1"/>
  <c r="D23" i="1"/>
  <c r="F23" i="1" s="1"/>
  <c r="C23" i="1"/>
  <c r="G22" i="1"/>
  <c r="D22" i="1"/>
  <c r="C22" i="1"/>
  <c r="G21" i="1"/>
  <c r="D21" i="1"/>
  <c r="C21" i="1"/>
  <c r="G20" i="1"/>
  <c r="D20" i="1"/>
  <c r="F20" i="1" s="1"/>
  <c r="C20" i="1"/>
  <c r="G19" i="1"/>
  <c r="D19" i="1"/>
  <c r="F19" i="1" s="1"/>
  <c r="C19" i="1"/>
  <c r="G18" i="1"/>
  <c r="D18" i="1"/>
  <c r="C18" i="1"/>
  <c r="G17" i="1"/>
  <c r="D17" i="1"/>
  <c r="C17" i="1"/>
  <c r="G16" i="1"/>
  <c r="D16" i="1"/>
  <c r="F16" i="1" s="1"/>
  <c r="C16" i="1"/>
  <c r="G15" i="1"/>
  <c r="D15" i="1"/>
  <c r="F15" i="1" s="1"/>
  <c r="H15" i="1" s="1"/>
  <c r="C15" i="1"/>
  <c r="G14" i="1"/>
  <c r="D14" i="1"/>
  <c r="C14" i="1"/>
  <c r="G13" i="1"/>
  <c r="D13" i="1"/>
  <c r="F13" i="1" s="1"/>
  <c r="H13" i="1" s="1"/>
  <c r="C13" i="1"/>
  <c r="G12" i="1"/>
  <c r="D12" i="1"/>
  <c r="F12" i="1" s="1"/>
  <c r="C12" i="1"/>
  <c r="G11" i="1"/>
  <c r="D11" i="1"/>
  <c r="F11" i="1" s="1"/>
  <c r="C11" i="1"/>
  <c r="G10" i="1"/>
  <c r="D10" i="1"/>
  <c r="C10" i="1"/>
  <c r="G9" i="1"/>
  <c r="F9" i="1"/>
  <c r="C9" i="1"/>
  <c r="H14" i="19" l="1"/>
  <c r="K14" i="19" s="1"/>
  <c r="J13" i="19"/>
  <c r="R24" i="18"/>
  <c r="S8" i="18"/>
  <c r="S9" i="18" s="1"/>
  <c r="S10" i="18" s="1"/>
  <c r="S11" i="18" s="1"/>
  <c r="S12" i="18" s="1"/>
  <c r="S13" i="18" s="1"/>
  <c r="S14" i="18" s="1"/>
  <c r="S15" i="18" s="1"/>
  <c r="S16" i="18" s="1"/>
  <c r="S17" i="18" s="1"/>
  <c r="S18" i="18" s="1"/>
  <c r="S19" i="18" s="1"/>
  <c r="S20" i="18" s="1"/>
  <c r="S21" i="18" s="1"/>
  <c r="S22" i="18" s="1"/>
  <c r="H32" i="1"/>
  <c r="H38" i="1"/>
  <c r="H9" i="1"/>
  <c r="H19" i="1"/>
  <c r="H35" i="1"/>
  <c r="H17" i="1"/>
  <c r="H20" i="1"/>
  <c r="H28" i="1"/>
  <c r="H33" i="1"/>
  <c r="H36" i="1"/>
  <c r="H42" i="1"/>
  <c r="H47" i="1"/>
  <c r="E26" i="4"/>
  <c r="B24" i="5" s="1"/>
  <c r="C12" i="7"/>
  <c r="H24" i="1"/>
  <c r="F21" i="1"/>
  <c r="H21" i="1" s="1"/>
  <c r="H27" i="1"/>
  <c r="F29" i="1"/>
  <c r="H29" i="1" s="1"/>
  <c r="F38" i="1"/>
  <c r="H12" i="1"/>
  <c r="H11" i="1"/>
  <c r="H16" i="1"/>
  <c r="F17" i="1"/>
  <c r="H23" i="1"/>
  <c r="F25" i="1"/>
  <c r="H25" i="1" s="1"/>
  <c r="H31" i="1"/>
  <c r="F33" i="1"/>
  <c r="H43" i="1"/>
  <c r="H44" i="1"/>
  <c r="H46" i="1"/>
  <c r="E29" i="4"/>
  <c r="B27" i="5" s="1"/>
  <c r="C20" i="7"/>
  <c r="D20" i="7" s="1"/>
  <c r="F21" i="10"/>
  <c r="G19" i="10"/>
  <c r="D24" i="7"/>
  <c r="E11" i="4"/>
  <c r="E15" i="4"/>
  <c r="E23" i="4"/>
  <c r="Q27" i="7"/>
  <c r="Q26" i="7"/>
  <c r="Q24" i="7"/>
  <c r="Q22" i="7"/>
  <c r="Q20" i="7"/>
  <c r="Q18" i="7"/>
  <c r="Q16" i="7"/>
  <c r="Q14" i="7"/>
  <c r="Q12" i="7"/>
  <c r="Q10" i="7"/>
  <c r="Q8" i="7"/>
  <c r="Q6" i="7"/>
  <c r="F18" i="1"/>
  <c r="H18" i="1" s="1"/>
  <c r="F34" i="1"/>
  <c r="H34" i="1" s="1"/>
  <c r="E10" i="4"/>
  <c r="E18" i="4"/>
  <c r="Q5" i="7"/>
  <c r="D12" i="7"/>
  <c r="Q13" i="7"/>
  <c r="Q29" i="7"/>
  <c r="D13" i="11"/>
  <c r="C22" i="7"/>
  <c r="H39" i="1"/>
  <c r="F41" i="1"/>
  <c r="H41" i="1" s="1"/>
  <c r="G5" i="4"/>
  <c r="E9" i="4"/>
  <c r="E13" i="4"/>
  <c r="E17" i="4"/>
  <c r="E21" i="4"/>
  <c r="E28" i="4"/>
  <c r="B26" i="5" s="1"/>
  <c r="Q7" i="7"/>
  <c r="C8" i="7"/>
  <c r="Q15" i="7"/>
  <c r="C16" i="7"/>
  <c r="Q23" i="7"/>
  <c r="N9" i="10"/>
  <c r="N10" i="10" s="1"/>
  <c r="N11" i="10" s="1"/>
  <c r="N12" i="10" s="1"/>
  <c r="N13" i="10" s="1"/>
  <c r="N14" i="10" s="1"/>
  <c r="N15" i="10" s="1"/>
  <c r="N16" i="10" s="1"/>
  <c r="N17" i="10" s="1"/>
  <c r="N18" i="10" s="1"/>
  <c r="N19" i="10" s="1"/>
  <c r="N20" i="10" s="1"/>
  <c r="N21" i="10" s="1"/>
  <c r="N15" i="11"/>
  <c r="D19" i="11"/>
  <c r="E7" i="4"/>
  <c r="E19" i="4"/>
  <c r="Q11" i="7"/>
  <c r="Q19" i="7"/>
  <c r="Q28" i="7"/>
  <c r="F10" i="1"/>
  <c r="H10" i="1" s="1"/>
  <c r="F14" i="1"/>
  <c r="H14" i="1" s="1"/>
  <c r="F22" i="1"/>
  <c r="H22" i="1" s="1"/>
  <c r="F26" i="1"/>
  <c r="H26" i="1" s="1"/>
  <c r="F30" i="1"/>
  <c r="H30" i="1" s="1"/>
  <c r="H49" i="1"/>
  <c r="E6" i="4"/>
  <c r="E14" i="4"/>
  <c r="E22" i="4"/>
  <c r="C28" i="7"/>
  <c r="C29" i="7"/>
  <c r="C27" i="7"/>
  <c r="D27" i="7" s="1"/>
  <c r="C25" i="7"/>
  <c r="C23" i="7"/>
  <c r="C21" i="7"/>
  <c r="C19" i="7"/>
  <c r="C17" i="7"/>
  <c r="D17" i="7" s="1"/>
  <c r="C15" i="7"/>
  <c r="C13" i="7"/>
  <c r="C11" i="7"/>
  <c r="C9" i="7"/>
  <c r="D9" i="7" s="1"/>
  <c r="C7" i="7"/>
  <c r="D5" i="7"/>
  <c r="F5" i="7" s="1"/>
  <c r="G5" i="7" s="1"/>
  <c r="C6" i="7"/>
  <c r="C14" i="7"/>
  <c r="Q21" i="7"/>
  <c r="H37" i="1"/>
  <c r="H45" i="1"/>
  <c r="E8" i="4"/>
  <c r="E12" i="4"/>
  <c r="E16" i="4"/>
  <c r="E20" i="4"/>
  <c r="E24" i="4"/>
  <c r="I5" i="7"/>
  <c r="J5" i="7" s="1"/>
  <c r="B4" i="8" s="1"/>
  <c r="Q9" i="7"/>
  <c r="C10" i="7"/>
  <c r="Q17" i="7"/>
  <c r="C18" i="7"/>
  <c r="Q25" i="7"/>
  <c r="C26" i="7"/>
  <c r="D16" i="10"/>
  <c r="D9" i="11"/>
  <c r="N13" i="11"/>
  <c r="E25" i="4"/>
  <c r="B23" i="5" s="1"/>
  <c r="E27" i="4"/>
  <c r="B25" i="5" s="1"/>
  <c r="D28" i="7"/>
  <c r="D7" i="7"/>
  <c r="D15" i="7"/>
  <c r="D23" i="7"/>
  <c r="D25" i="7"/>
  <c r="D7" i="10"/>
  <c r="E8" i="10" s="1"/>
  <c r="E9" i="10" s="1"/>
  <c r="E10" i="10" s="1"/>
  <c r="E11" i="10" s="1"/>
  <c r="E12" i="10" s="1"/>
  <c r="D12" i="10"/>
  <c r="O20" i="10"/>
  <c r="O19" i="10" s="1"/>
  <c r="N22" i="13"/>
  <c r="P22" i="13" s="1"/>
  <c r="D8" i="11"/>
  <c r="E9" i="11" s="1"/>
  <c r="H9" i="11" s="1"/>
  <c r="D12" i="11"/>
  <c r="H8" i="11"/>
  <c r="N7" i="11"/>
  <c r="N11" i="11"/>
  <c r="N19" i="11"/>
  <c r="H15" i="19" l="1"/>
  <c r="K15" i="19" s="1"/>
  <c r="J14" i="19"/>
  <c r="O22" i="13"/>
  <c r="Q22" i="13" s="1"/>
  <c r="F20" i="10"/>
  <c r="E10" i="11"/>
  <c r="G10" i="11" s="1"/>
  <c r="H51" i="1"/>
  <c r="G16" i="4"/>
  <c r="B14" i="5"/>
  <c r="E6" i="7"/>
  <c r="D29" i="7"/>
  <c r="B17" i="5"/>
  <c r="G19" i="4"/>
  <c r="D16" i="7"/>
  <c r="B11" i="5"/>
  <c r="G13" i="4"/>
  <c r="B21" i="5"/>
  <c r="G23" i="4"/>
  <c r="G18" i="10"/>
  <c r="E13" i="10"/>
  <c r="E14" i="10" s="1"/>
  <c r="E15" i="10" s="1"/>
  <c r="E16" i="10" s="1"/>
  <c r="E17" i="10" s="1"/>
  <c r="E18" i="10" s="1"/>
  <c r="E19" i="10" s="1"/>
  <c r="E20" i="10" s="1"/>
  <c r="E21" i="10" s="1"/>
  <c r="H10" i="11"/>
  <c r="E11" i="11"/>
  <c r="G14" i="4"/>
  <c r="B12" i="5"/>
  <c r="B15" i="5"/>
  <c r="G17" i="4"/>
  <c r="Q7" i="11"/>
  <c r="O8" i="11"/>
  <c r="B4" i="5"/>
  <c r="G6" i="4"/>
  <c r="D21" i="7"/>
  <c r="D13" i="7"/>
  <c r="D18" i="7"/>
  <c r="G12" i="4"/>
  <c r="B10" i="5"/>
  <c r="G7" i="4"/>
  <c r="B5" i="5"/>
  <c r="B7" i="5"/>
  <c r="G9" i="4"/>
  <c r="D22" i="7"/>
  <c r="T5" i="7"/>
  <c r="S5" i="7"/>
  <c r="X5" i="7" s="1"/>
  <c r="Y5" i="7" s="1"/>
  <c r="C4" i="8" s="1"/>
  <c r="B13" i="5"/>
  <c r="G15" i="4"/>
  <c r="O18" i="10"/>
  <c r="D26" i="7"/>
  <c r="D10" i="7"/>
  <c r="G20" i="4"/>
  <c r="B18" i="5"/>
  <c r="D6" i="7"/>
  <c r="G10" i="4"/>
  <c r="B8" i="5"/>
  <c r="I6" i="7"/>
  <c r="J6" i="7" s="1"/>
  <c r="B5" i="8" s="1"/>
  <c r="C20" i="15"/>
  <c r="N21" i="13"/>
  <c r="D19" i="7"/>
  <c r="D11" i="7"/>
  <c r="G9" i="11"/>
  <c r="G24" i="4"/>
  <c r="B22" i="5"/>
  <c r="B6" i="5"/>
  <c r="G8" i="4"/>
  <c r="D14" i="7"/>
  <c r="G22" i="4"/>
  <c r="B20" i="5"/>
  <c r="D8" i="7"/>
  <c r="B19" i="5"/>
  <c r="G21" i="4"/>
  <c r="G18" i="4"/>
  <c r="B16" i="5"/>
  <c r="B9" i="5"/>
  <c r="G11" i="4"/>
  <c r="G26" i="4" l="1"/>
  <c r="H24" i="4"/>
  <c r="E6" i="5" s="1"/>
  <c r="H16" i="19"/>
  <c r="K16" i="19" s="1"/>
  <c r="J15" i="19"/>
  <c r="F6" i="7"/>
  <c r="E7" i="7" s="1"/>
  <c r="F7" i="7" s="1"/>
  <c r="F19" i="10"/>
  <c r="G6" i="7"/>
  <c r="C18" i="15"/>
  <c r="N19" i="13"/>
  <c r="O17" i="10"/>
  <c r="G17" i="10"/>
  <c r="H11" i="11"/>
  <c r="G11" i="11"/>
  <c r="E12" i="11"/>
  <c r="P21" i="13"/>
  <c r="O21" i="13"/>
  <c r="U5" i="7"/>
  <c r="V5" i="7"/>
  <c r="O6" i="7" s="1"/>
  <c r="C19" i="15"/>
  <c r="N20" i="13"/>
  <c r="O9" i="11"/>
  <c r="Q8" i="11"/>
  <c r="H17" i="19" l="1"/>
  <c r="K17" i="19" s="1"/>
  <c r="J16" i="19"/>
  <c r="Q21" i="13"/>
  <c r="P5" i="4"/>
  <c r="F18" i="10"/>
  <c r="E8" i="7"/>
  <c r="F8" i="7" s="1"/>
  <c r="G7" i="7"/>
  <c r="S6" i="7"/>
  <c r="X6" i="7" s="1"/>
  <c r="Y6" i="7" s="1"/>
  <c r="C5" i="8" s="1"/>
  <c r="T6" i="7"/>
  <c r="G12" i="11"/>
  <c r="H12" i="11"/>
  <c r="E13" i="11"/>
  <c r="G16" i="10"/>
  <c r="O10" i="11"/>
  <c r="Q9" i="11"/>
  <c r="P19" i="13"/>
  <c r="O19" i="13"/>
  <c r="I7" i="7"/>
  <c r="J7" i="7"/>
  <c r="B6" i="8" s="1"/>
  <c r="P20" i="13"/>
  <c r="O20" i="13"/>
  <c r="C17" i="15"/>
  <c r="N18" i="13"/>
  <c r="O16" i="10"/>
  <c r="H18" i="19" l="1"/>
  <c r="K18" i="19" s="1"/>
  <c r="J17" i="19"/>
  <c r="Q20" i="13"/>
  <c r="Q19" i="13"/>
  <c r="F17" i="10"/>
  <c r="E9" i="7"/>
  <c r="F9" i="7" s="1"/>
  <c r="G8" i="7"/>
  <c r="O15" i="10"/>
  <c r="G15" i="10"/>
  <c r="C16" i="15"/>
  <c r="N17" i="13"/>
  <c r="U6" i="7"/>
  <c r="V6" i="7" s="1"/>
  <c r="O7" i="7" s="1"/>
  <c r="G13" i="11"/>
  <c r="H13" i="11"/>
  <c r="E14" i="11"/>
  <c r="P18" i="13"/>
  <c r="O18" i="13"/>
  <c r="Q10" i="11"/>
  <c r="O11" i="11"/>
  <c r="I8" i="7"/>
  <c r="J8" i="7" s="1"/>
  <c r="B7" i="8" s="1"/>
  <c r="H19" i="19" l="1"/>
  <c r="K19" i="19" s="1"/>
  <c r="J18" i="19"/>
  <c r="Q18" i="13"/>
  <c r="F16" i="10"/>
  <c r="T7" i="7"/>
  <c r="S7" i="7"/>
  <c r="X7" i="7" s="1"/>
  <c r="Y7" i="7" s="1"/>
  <c r="C6" i="8" s="1"/>
  <c r="P17" i="13"/>
  <c r="O17" i="13"/>
  <c r="I9" i="7"/>
  <c r="J9" i="7" s="1"/>
  <c r="B8" i="8" s="1"/>
  <c r="G14" i="10"/>
  <c r="N16" i="13"/>
  <c r="C15" i="15"/>
  <c r="Q11" i="11"/>
  <c r="O12" i="11"/>
  <c r="G14" i="11"/>
  <c r="E15" i="11"/>
  <c r="H14" i="11"/>
  <c r="E10" i="7"/>
  <c r="F10" i="7" s="1"/>
  <c r="G9" i="7"/>
  <c r="O14" i="10"/>
  <c r="H20" i="19" l="1"/>
  <c r="K20" i="19" s="1"/>
  <c r="J19" i="19"/>
  <c r="Q17" i="13"/>
  <c r="F15" i="10"/>
  <c r="E11" i="7"/>
  <c r="F11" i="7" s="1"/>
  <c r="G10" i="7"/>
  <c r="C14" i="15"/>
  <c r="N15" i="13"/>
  <c r="I10" i="7"/>
  <c r="J10" i="7" s="1"/>
  <c r="B9" i="8" s="1"/>
  <c r="H15" i="11"/>
  <c r="G15" i="11"/>
  <c r="E16" i="11"/>
  <c r="O13" i="10"/>
  <c r="P16" i="13"/>
  <c r="O16" i="13"/>
  <c r="Q12" i="11"/>
  <c r="O13" i="11"/>
  <c r="G13" i="10"/>
  <c r="U7" i="7"/>
  <c r="V7" i="7" s="1"/>
  <c r="O8" i="7" s="1"/>
  <c r="H21" i="19" l="1"/>
  <c r="K21" i="19" s="1"/>
  <c r="J20" i="19"/>
  <c r="Q16" i="13"/>
  <c r="F14" i="10"/>
  <c r="E12" i="7"/>
  <c r="F12" i="7" s="1"/>
  <c r="G11" i="7"/>
  <c r="S8" i="7"/>
  <c r="X8" i="7" s="1"/>
  <c r="Y8" i="7" s="1"/>
  <c r="C7" i="8" s="1"/>
  <c r="T8" i="7"/>
  <c r="E17" i="11"/>
  <c r="H16" i="11"/>
  <c r="G16" i="11"/>
  <c r="O12" i="10"/>
  <c r="O14" i="11"/>
  <c r="Q13" i="11"/>
  <c r="I11" i="7"/>
  <c r="J11" i="7" s="1"/>
  <c r="B10" i="8" s="1"/>
  <c r="G12" i="10"/>
  <c r="C13" i="15"/>
  <c r="N14" i="13"/>
  <c r="P15" i="13"/>
  <c r="O15" i="13"/>
  <c r="H22" i="19" l="1"/>
  <c r="J21" i="19"/>
  <c r="Q15" i="13"/>
  <c r="F13" i="10"/>
  <c r="E13" i="7"/>
  <c r="F13" i="7" s="1"/>
  <c r="G12" i="7"/>
  <c r="C12" i="15"/>
  <c r="N13" i="13"/>
  <c r="G17" i="11"/>
  <c r="H17" i="11"/>
  <c r="E18" i="11"/>
  <c r="O11" i="10"/>
  <c r="I12" i="7"/>
  <c r="J12" i="7" s="1"/>
  <c r="B11" i="8" s="1"/>
  <c r="G11" i="10"/>
  <c r="P14" i="13"/>
  <c r="O14" i="13"/>
  <c r="O15" i="11"/>
  <c r="Q14" i="11"/>
  <c r="U8" i="7"/>
  <c r="V8" i="7" s="1"/>
  <c r="O9" i="7" s="1"/>
  <c r="J22" i="19" l="1"/>
  <c r="K22" i="19"/>
  <c r="L20" i="19"/>
  <c r="L15" i="19"/>
  <c r="L21" i="19"/>
  <c r="L8" i="19"/>
  <c r="L9" i="19"/>
  <c r="L10" i="19"/>
  <c r="L11" i="19"/>
  <c r="L13" i="19"/>
  <c r="L12" i="19"/>
  <c r="L16" i="19"/>
  <c r="L18" i="19"/>
  <c r="L14" i="19"/>
  <c r="L17" i="19"/>
  <c r="L19" i="19"/>
  <c r="Q14" i="13"/>
  <c r="F12" i="10"/>
  <c r="T9" i="7"/>
  <c r="S9" i="7"/>
  <c r="X9" i="7" s="1"/>
  <c r="Y9" i="7" s="1"/>
  <c r="C8" i="8" s="1"/>
  <c r="G10" i="10"/>
  <c r="P13" i="13"/>
  <c r="O13" i="13"/>
  <c r="E14" i="7"/>
  <c r="F14" i="7" s="1"/>
  <c r="G13" i="7"/>
  <c r="C11" i="15"/>
  <c r="N12" i="13"/>
  <c r="O10" i="10"/>
  <c r="I13" i="7"/>
  <c r="J13" i="7" s="1"/>
  <c r="B12" i="8" s="1"/>
  <c r="H18" i="11"/>
  <c r="G18" i="11"/>
  <c r="E19" i="11"/>
  <c r="O16" i="11"/>
  <c r="Q15" i="11"/>
  <c r="N21" i="19" l="1"/>
  <c r="N11" i="19"/>
  <c r="N13" i="19"/>
  <c r="N12" i="19"/>
  <c r="Q13" i="13"/>
  <c r="F11" i="10"/>
  <c r="H19" i="11"/>
  <c r="G19" i="11"/>
  <c r="E20" i="11"/>
  <c r="G9" i="10"/>
  <c r="O9" i="10"/>
  <c r="E15" i="7"/>
  <c r="F15" i="7" s="1"/>
  <c r="G14" i="7"/>
  <c r="C10" i="15"/>
  <c r="N11" i="13"/>
  <c r="I14" i="7"/>
  <c r="J14" i="7" s="1"/>
  <c r="B13" i="8" s="1"/>
  <c r="Q16" i="11"/>
  <c r="O17" i="11"/>
  <c r="P12" i="13"/>
  <c r="O12" i="13"/>
  <c r="U9" i="7"/>
  <c r="V9" i="7" s="1"/>
  <c r="O10" i="7" s="1"/>
  <c r="N20" i="19" l="1"/>
  <c r="N8" i="19"/>
  <c r="Q22" i="19"/>
  <c r="N15" i="19"/>
  <c r="N16" i="19"/>
  <c r="N18" i="19"/>
  <c r="N9" i="19"/>
  <c r="N14" i="19"/>
  <c r="N19" i="19"/>
  <c r="N17" i="19"/>
  <c r="N10" i="19"/>
  <c r="Q12" i="13"/>
  <c r="F10" i="10"/>
  <c r="E16" i="7"/>
  <c r="F16" i="7" s="1"/>
  <c r="G15" i="7"/>
  <c r="I15" i="7"/>
  <c r="J15" i="7" s="1"/>
  <c r="B14" i="8" s="1"/>
  <c r="C9" i="15"/>
  <c r="N10" i="13"/>
  <c r="H20" i="11"/>
  <c r="E21" i="11"/>
  <c r="G20" i="11"/>
  <c r="O8" i="10"/>
  <c r="S10" i="7"/>
  <c r="X10" i="7" s="1"/>
  <c r="Y10" i="7" s="1"/>
  <c r="C9" i="8" s="1"/>
  <c r="T10" i="7"/>
  <c r="Q17" i="11"/>
  <c r="O18" i="11"/>
  <c r="P11" i="13"/>
  <c r="O11" i="13"/>
  <c r="G8" i="10"/>
  <c r="Q19" i="19" l="1"/>
  <c r="Q13" i="19"/>
  <c r="Q12" i="19"/>
  <c r="Q11" i="19"/>
  <c r="Q9" i="19"/>
  <c r="Q15" i="19"/>
  <c r="Q20" i="19"/>
  <c r="Q10" i="19"/>
  <c r="Q17" i="19"/>
  <c r="Q21" i="19"/>
  <c r="Q16" i="19"/>
  <c r="Q18" i="19"/>
  <c r="Q14" i="19"/>
  <c r="R9" i="19"/>
  <c r="Q8" i="19"/>
  <c r="Q11" i="13"/>
  <c r="F9" i="10"/>
  <c r="E17" i="7"/>
  <c r="F17" i="7"/>
  <c r="G16" i="7"/>
  <c r="O19" i="11"/>
  <c r="Q18" i="11"/>
  <c r="P10" i="13"/>
  <c r="O10" i="13"/>
  <c r="I16" i="7"/>
  <c r="J16" i="7" s="1"/>
  <c r="B15" i="8" s="1"/>
  <c r="U10" i="7"/>
  <c r="V10" i="7" s="1"/>
  <c r="O11" i="7" s="1"/>
  <c r="G7" i="10"/>
  <c r="C8" i="15"/>
  <c r="N9" i="13"/>
  <c r="O7" i="10"/>
  <c r="P7" i="10" s="1"/>
  <c r="G21" i="11"/>
  <c r="H21" i="11"/>
  <c r="R10" i="19" l="1"/>
  <c r="F8" i="10"/>
  <c r="Q10" i="13"/>
  <c r="T11" i="7"/>
  <c r="S11" i="7"/>
  <c r="X11" i="7" s="1"/>
  <c r="Y11" i="7" s="1"/>
  <c r="C10" i="8" s="1"/>
  <c r="P9" i="13"/>
  <c r="O9" i="13"/>
  <c r="Q9" i="13" s="1"/>
  <c r="Q19" i="11"/>
  <c r="O20" i="11"/>
  <c r="N8" i="13"/>
  <c r="C7" i="15"/>
  <c r="E18" i="7"/>
  <c r="F18" i="7" s="1"/>
  <c r="G17" i="7"/>
  <c r="I17" i="7"/>
  <c r="J17" i="7" s="1"/>
  <c r="B16" i="8" s="1"/>
  <c r="I7" i="11"/>
  <c r="C1" i="15" s="1"/>
  <c r="R11" i="19" l="1"/>
  <c r="F7" i="10"/>
  <c r="H7" i="10" s="1"/>
  <c r="G2" i="12" s="1"/>
  <c r="E19" i="7"/>
  <c r="F19" i="7" s="1"/>
  <c r="G18" i="7"/>
  <c r="I18" i="7"/>
  <c r="J18" i="7" s="1"/>
  <c r="B17" i="8" s="1"/>
  <c r="O21" i="11"/>
  <c r="Q21" i="11" s="1"/>
  <c r="Q20" i="11"/>
  <c r="P8" i="13"/>
  <c r="P24" i="13" s="1"/>
  <c r="O8" i="13"/>
  <c r="U11" i="7"/>
  <c r="V11" i="7" s="1"/>
  <c r="O12" i="7" s="1"/>
  <c r="R12" i="19" l="1"/>
  <c r="G8" i="12"/>
  <c r="G12" i="12"/>
  <c r="G16" i="12"/>
  <c r="H16" i="12" s="1"/>
  <c r="G20" i="12"/>
  <c r="H20" i="12" s="1"/>
  <c r="G9" i="12"/>
  <c r="G13" i="12"/>
  <c r="G17" i="12"/>
  <c r="H17" i="12" s="1"/>
  <c r="G7" i="12"/>
  <c r="H7" i="12" s="1"/>
  <c r="G10" i="12"/>
  <c r="G14" i="12"/>
  <c r="G18" i="12"/>
  <c r="G11" i="12"/>
  <c r="G15" i="12"/>
  <c r="G19" i="12"/>
  <c r="H18" i="12"/>
  <c r="H14" i="12"/>
  <c r="H10" i="12"/>
  <c r="H19" i="12"/>
  <c r="H11" i="12"/>
  <c r="H21" i="12"/>
  <c r="H13" i="12"/>
  <c r="H9" i="12"/>
  <c r="H12" i="12"/>
  <c r="H8" i="12"/>
  <c r="H15" i="12"/>
  <c r="E20" i="7"/>
  <c r="F20" i="7" s="1"/>
  <c r="G19" i="7"/>
  <c r="R7" i="11"/>
  <c r="C2" i="15" s="1"/>
  <c r="I19" i="7"/>
  <c r="J19" i="7"/>
  <c r="B18" i="8" s="1"/>
  <c r="O24" i="13"/>
  <c r="Q8" i="13"/>
  <c r="S12" i="7"/>
  <c r="X12" i="7" s="1"/>
  <c r="Y12" i="7" s="1"/>
  <c r="C11" i="8" s="1"/>
  <c r="T12" i="7"/>
  <c r="R13" i="19" l="1"/>
  <c r="F9" i="18"/>
  <c r="F22" i="18"/>
  <c r="F19" i="18"/>
  <c r="G17" i="13"/>
  <c r="F18" i="18"/>
  <c r="F10" i="18"/>
  <c r="F11" i="18"/>
  <c r="F13" i="18"/>
  <c r="F16" i="18"/>
  <c r="F14" i="18"/>
  <c r="G14" i="13"/>
  <c r="F15" i="18"/>
  <c r="F20" i="18"/>
  <c r="F21" i="18"/>
  <c r="F17" i="18"/>
  <c r="G11" i="13"/>
  <c r="F12" i="18"/>
  <c r="B17" i="15"/>
  <c r="G18" i="13"/>
  <c r="B21" i="15"/>
  <c r="G22" i="13"/>
  <c r="G9" i="13"/>
  <c r="B8" i="15"/>
  <c r="G10" i="13"/>
  <c r="B9" i="15"/>
  <c r="B11" i="15"/>
  <c r="G12" i="13"/>
  <c r="G15" i="13"/>
  <c r="B14" i="15"/>
  <c r="B16" i="15"/>
  <c r="B19" i="15"/>
  <c r="G20" i="13"/>
  <c r="G16" i="13"/>
  <c r="B15" i="15"/>
  <c r="B7" i="15"/>
  <c r="G8" i="13"/>
  <c r="B10" i="15"/>
  <c r="B12" i="15"/>
  <c r="G13" i="13"/>
  <c r="B13" i="15"/>
  <c r="G21" i="13"/>
  <c r="B20" i="15"/>
  <c r="G19" i="13"/>
  <c r="B18" i="15"/>
  <c r="E21" i="7"/>
  <c r="F21" i="7"/>
  <c r="G20" i="7"/>
  <c r="I20" i="7"/>
  <c r="J20" i="7" s="1"/>
  <c r="B19" i="8" s="1"/>
  <c r="U12" i="7"/>
  <c r="V12" i="7" s="1"/>
  <c r="O13" i="7" s="1"/>
  <c r="R8" i="13"/>
  <c r="R9" i="13" s="1"/>
  <c r="R10" i="13" s="1"/>
  <c r="R11" i="13" s="1"/>
  <c r="R12" i="13" s="1"/>
  <c r="R13" i="13" s="1"/>
  <c r="R14" i="13" s="1"/>
  <c r="R15" i="13" s="1"/>
  <c r="R16" i="13" s="1"/>
  <c r="R17" i="13" s="1"/>
  <c r="R18" i="13" s="1"/>
  <c r="R19" i="13" s="1"/>
  <c r="R20" i="13" s="1"/>
  <c r="R21" i="13" s="1"/>
  <c r="R22" i="13" s="1"/>
  <c r="B26" i="15" s="1"/>
  <c r="Q24" i="13"/>
  <c r="R14" i="19" l="1"/>
  <c r="J11" i="18"/>
  <c r="H12" i="18"/>
  <c r="J20" i="18"/>
  <c r="H21" i="18"/>
  <c r="J14" i="18"/>
  <c r="H15" i="18"/>
  <c r="J15" i="18"/>
  <c r="H16" i="18"/>
  <c r="J10" i="18"/>
  <c r="H11" i="18"/>
  <c r="K11" i="18" s="1"/>
  <c r="J17" i="18"/>
  <c r="H18" i="18"/>
  <c r="K18" i="18" s="1"/>
  <c r="J21" i="18"/>
  <c r="H22" i="18"/>
  <c r="K22" i="18" s="1"/>
  <c r="J16" i="18"/>
  <c r="H17" i="18"/>
  <c r="K17" i="18" s="1"/>
  <c r="J19" i="18"/>
  <c r="H20" i="18"/>
  <c r="J13" i="18"/>
  <c r="H14" i="18"/>
  <c r="K14" i="18" s="1"/>
  <c r="J12" i="18"/>
  <c r="H13" i="18"/>
  <c r="J9" i="18"/>
  <c r="H10" i="18"/>
  <c r="K10" i="18" s="1"/>
  <c r="J18" i="18"/>
  <c r="H19" i="18"/>
  <c r="K19" i="18" s="1"/>
  <c r="J8" i="18"/>
  <c r="K8" i="18" s="1"/>
  <c r="H9" i="18"/>
  <c r="K9" i="18" s="1"/>
  <c r="I13" i="13"/>
  <c r="H13" i="13"/>
  <c r="I22" i="13"/>
  <c r="H22" i="13"/>
  <c r="I15" i="13"/>
  <c r="H15" i="13"/>
  <c r="I10" i="13"/>
  <c r="H10" i="13"/>
  <c r="J10" i="13" s="1"/>
  <c r="I14" i="13"/>
  <c r="H14" i="13"/>
  <c r="I11" i="13"/>
  <c r="H11" i="13"/>
  <c r="J11" i="13" s="1"/>
  <c r="H12" i="13"/>
  <c r="I12" i="13"/>
  <c r="I18" i="13"/>
  <c r="H18" i="13"/>
  <c r="J18" i="13" s="1"/>
  <c r="I8" i="13"/>
  <c r="H8" i="13"/>
  <c r="H20" i="13"/>
  <c r="I20" i="13"/>
  <c r="I21" i="13"/>
  <c r="H21" i="13"/>
  <c r="H19" i="13"/>
  <c r="I19" i="13"/>
  <c r="I16" i="13"/>
  <c r="H16" i="13"/>
  <c r="I17" i="13"/>
  <c r="H17" i="13"/>
  <c r="J17" i="13" s="1"/>
  <c r="I9" i="13"/>
  <c r="H9" i="13"/>
  <c r="T13" i="7"/>
  <c r="S13" i="7"/>
  <c r="X13" i="7" s="1"/>
  <c r="Y13" i="7" s="1"/>
  <c r="C12" i="8" s="1"/>
  <c r="I21" i="7"/>
  <c r="J21" i="7" s="1"/>
  <c r="B20" i="8" s="1"/>
  <c r="E22" i="7"/>
  <c r="F22" i="7" s="1"/>
  <c r="G21" i="7"/>
  <c r="R15" i="19" l="1"/>
  <c r="K13" i="18"/>
  <c r="K20" i="18"/>
  <c r="K12" i="18"/>
  <c r="K15" i="18"/>
  <c r="L8" i="18"/>
  <c r="L9" i="18" s="1"/>
  <c r="L10" i="18" s="1"/>
  <c r="L11" i="18" s="1"/>
  <c r="K16" i="18"/>
  <c r="K21" i="18"/>
  <c r="J22" i="13"/>
  <c r="J9" i="13"/>
  <c r="J16" i="13"/>
  <c r="J21" i="13"/>
  <c r="J14" i="13"/>
  <c r="J15" i="13"/>
  <c r="J13" i="13"/>
  <c r="J20" i="13"/>
  <c r="H24" i="13"/>
  <c r="J8" i="13"/>
  <c r="J19" i="13"/>
  <c r="I24" i="13"/>
  <c r="J12" i="13"/>
  <c r="E23" i="7"/>
  <c r="F23" i="7" s="1"/>
  <c r="G22" i="7"/>
  <c r="I22" i="7"/>
  <c r="J22" i="7" s="1"/>
  <c r="B21" i="8" s="1"/>
  <c r="U13" i="7"/>
  <c r="V13" i="7" s="1"/>
  <c r="O14" i="7" s="1"/>
  <c r="R16" i="19" l="1"/>
  <c r="K24" i="18"/>
  <c r="L12" i="18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S24" i="18" s="1"/>
  <c r="K8" i="13"/>
  <c r="K9" i="13" s="1"/>
  <c r="K10" i="13" s="1"/>
  <c r="K11" i="13" s="1"/>
  <c r="K12" i="13" s="1"/>
  <c r="K13" i="13" s="1"/>
  <c r="K14" i="13" s="1"/>
  <c r="K15" i="13" s="1"/>
  <c r="K16" i="13" s="1"/>
  <c r="K17" i="13" s="1"/>
  <c r="K18" i="13" s="1"/>
  <c r="K19" i="13" s="1"/>
  <c r="K20" i="13" s="1"/>
  <c r="K21" i="13" s="1"/>
  <c r="K22" i="13" s="1"/>
  <c r="J24" i="13"/>
  <c r="S14" i="7"/>
  <c r="X14" i="7" s="1"/>
  <c r="Y14" i="7" s="1"/>
  <c r="C13" i="8" s="1"/>
  <c r="T14" i="7"/>
  <c r="E24" i="7"/>
  <c r="F24" i="7" s="1"/>
  <c r="G23" i="7"/>
  <c r="I23" i="7"/>
  <c r="J23" i="7"/>
  <c r="B22" i="8" s="1"/>
  <c r="R17" i="19" l="1"/>
  <c r="A26" i="15"/>
  <c r="R24" i="13"/>
  <c r="C26" i="15" s="1"/>
  <c r="E25" i="7"/>
  <c r="F25" i="7" s="1"/>
  <c r="G24" i="7"/>
  <c r="U14" i="7"/>
  <c r="V14" i="7" s="1"/>
  <c r="O15" i="7" s="1"/>
  <c r="I24" i="7"/>
  <c r="J24" i="7" s="1"/>
  <c r="B23" i="8" s="1"/>
  <c r="R18" i="19" l="1"/>
  <c r="E26" i="7"/>
  <c r="F26" i="7" s="1"/>
  <c r="G25" i="7"/>
  <c r="T15" i="7"/>
  <c r="S15" i="7"/>
  <c r="X15" i="7" s="1"/>
  <c r="Y15" i="7" s="1"/>
  <c r="C14" i="8" s="1"/>
  <c r="I25" i="7"/>
  <c r="J25" i="7" s="1"/>
  <c r="B24" i="8" s="1"/>
  <c r="R19" i="19" l="1"/>
  <c r="E27" i="7"/>
  <c r="F27" i="7" s="1"/>
  <c r="G26" i="7"/>
  <c r="U15" i="7"/>
  <c r="V15" i="7" s="1"/>
  <c r="O16" i="7" s="1"/>
  <c r="I26" i="7"/>
  <c r="J26" i="7" s="1"/>
  <c r="B25" i="8" s="1"/>
  <c r="R20" i="19" l="1"/>
  <c r="S16" i="7"/>
  <c r="X16" i="7" s="1"/>
  <c r="Y16" i="7" s="1"/>
  <c r="C15" i="8" s="1"/>
  <c r="T16" i="7"/>
  <c r="E28" i="7"/>
  <c r="F28" i="7"/>
  <c r="G27" i="7"/>
  <c r="I27" i="7"/>
  <c r="J27" i="7" s="1"/>
  <c r="B26" i="8" s="1"/>
  <c r="R21" i="19" l="1"/>
  <c r="U16" i="7"/>
  <c r="V16" i="7" s="1"/>
  <c r="O17" i="7" s="1"/>
  <c r="E29" i="7"/>
  <c r="F29" i="7"/>
  <c r="G29" i="7" s="1"/>
  <c r="K29" i="7" s="1"/>
  <c r="E4" i="8" s="1"/>
  <c r="G28" i="7"/>
  <c r="I28" i="7"/>
  <c r="J28" i="7" s="1"/>
  <c r="B27" i="8" s="1"/>
  <c r="R22" i="19" l="1"/>
  <c r="T17" i="7"/>
  <c r="S17" i="7"/>
  <c r="X17" i="7" s="1"/>
  <c r="Y17" i="7" s="1"/>
  <c r="C16" i="8" s="1"/>
  <c r="I29" i="7"/>
  <c r="J29" i="7"/>
  <c r="B28" i="8" s="1"/>
  <c r="U17" i="7" l="1"/>
  <c r="V17" i="7"/>
  <c r="O18" i="7" s="1"/>
  <c r="S18" i="7" l="1"/>
  <c r="X18" i="7" s="1"/>
  <c r="Y18" i="7" s="1"/>
  <c r="C17" i="8" s="1"/>
  <c r="T18" i="7"/>
  <c r="U18" i="7" l="1"/>
  <c r="V18" i="7" s="1"/>
  <c r="O19" i="7" s="1"/>
  <c r="T19" i="7" l="1"/>
  <c r="S19" i="7"/>
  <c r="X19" i="7" s="1"/>
  <c r="Y19" i="7" s="1"/>
  <c r="C18" i="8" s="1"/>
  <c r="U19" i="7" l="1"/>
  <c r="V19" i="7" s="1"/>
  <c r="O20" i="7" s="1"/>
  <c r="S20" i="7" l="1"/>
  <c r="X20" i="7" s="1"/>
  <c r="Y20" i="7" s="1"/>
  <c r="C19" i="8" s="1"/>
  <c r="T20" i="7"/>
  <c r="U20" i="7" l="1"/>
  <c r="V20" i="7" s="1"/>
  <c r="O21" i="7" s="1"/>
  <c r="T21" i="7" l="1"/>
  <c r="S21" i="7"/>
  <c r="X21" i="7" s="1"/>
  <c r="Y21" i="7" s="1"/>
  <c r="C20" i="8" s="1"/>
  <c r="U21" i="7" l="1"/>
  <c r="V21" i="7" s="1"/>
  <c r="O22" i="7" s="1"/>
  <c r="S22" i="7" l="1"/>
  <c r="X22" i="7" s="1"/>
  <c r="Y22" i="7" s="1"/>
  <c r="C21" i="8" s="1"/>
  <c r="T22" i="7"/>
  <c r="U22" i="7" l="1"/>
  <c r="V22" i="7" s="1"/>
  <c r="O23" i="7" s="1"/>
  <c r="T23" i="7" l="1"/>
  <c r="S23" i="7"/>
  <c r="X23" i="7" s="1"/>
  <c r="Y23" i="7" s="1"/>
  <c r="C22" i="8" s="1"/>
  <c r="U23" i="7" l="1"/>
  <c r="V23" i="7"/>
  <c r="O24" i="7" s="1"/>
  <c r="S24" i="7" l="1"/>
  <c r="X24" i="7" s="1"/>
  <c r="Y24" i="7" s="1"/>
  <c r="C23" i="8" s="1"/>
  <c r="T24" i="7"/>
  <c r="U24" i="7" l="1"/>
  <c r="V24" i="7" s="1"/>
  <c r="O25" i="7" s="1"/>
  <c r="T25" i="7" l="1"/>
  <c r="S25" i="7"/>
  <c r="X25" i="7" s="1"/>
  <c r="Y25" i="7" s="1"/>
  <c r="C24" i="8" s="1"/>
  <c r="U25" i="7" l="1"/>
  <c r="V25" i="7" s="1"/>
  <c r="O26" i="7" s="1"/>
  <c r="S26" i="7" l="1"/>
  <c r="X26" i="7" s="1"/>
  <c r="Y26" i="7" s="1"/>
  <c r="C25" i="8" s="1"/>
  <c r="T26" i="7"/>
  <c r="U26" i="7" l="1"/>
  <c r="V26" i="7" s="1"/>
  <c r="O27" i="7" s="1"/>
  <c r="T27" i="7" l="1"/>
  <c r="S27" i="7"/>
  <c r="X27" i="7" s="1"/>
  <c r="Y27" i="7" s="1"/>
  <c r="C26" i="8" s="1"/>
  <c r="U27" i="7" l="1"/>
  <c r="V27" i="7" s="1"/>
  <c r="O28" i="7" s="1"/>
  <c r="T28" i="7" l="1"/>
  <c r="S28" i="7"/>
  <c r="X28" i="7" s="1"/>
  <c r="Y28" i="7" s="1"/>
  <c r="C27" i="8" s="1"/>
  <c r="U28" i="7" l="1"/>
  <c r="V28" i="7"/>
  <c r="O29" i="7" s="1"/>
  <c r="T29" i="7" l="1"/>
  <c r="S29" i="7"/>
  <c r="X29" i="7" s="1"/>
  <c r="Y29" i="7" s="1"/>
  <c r="C28" i="8" s="1"/>
  <c r="U29" i="7" l="1"/>
  <c r="V29" i="7"/>
  <c r="Z29" i="7" s="1"/>
  <c r="F4" i="8" s="1"/>
</calcChain>
</file>

<file path=xl/sharedStrings.xml><?xml version="1.0" encoding="utf-8"?>
<sst xmlns="http://schemas.openxmlformats.org/spreadsheetml/2006/main" count="496" uniqueCount="204">
  <si>
    <t>i</t>
  </si>
  <si>
    <t>[2]</t>
  </si>
  <si>
    <t>The investor buys the bond at a price of $100 per $100 nominal and the bond is to be redeemed at</t>
  </si>
  <si>
    <t>Coupon</t>
  </si>
  <si>
    <t>Income tax</t>
  </si>
  <si>
    <t>$103.50 per $100 nominal, therefore we know there will be a capital gain at redemption</t>
  </si>
  <si>
    <t>Redemption</t>
  </si>
  <si>
    <t>Capital Gains Tax</t>
  </si>
  <si>
    <t xml:space="preserve">So under the worst case scenario a minimum yield is achieved when bond is redeemed at latest </t>
  </si>
  <si>
    <t>possible time ie after 20 years</t>
  </si>
  <si>
    <t>[1]</t>
  </si>
  <si>
    <t>[4]</t>
  </si>
  <si>
    <t>Time</t>
  </si>
  <si>
    <t>Outgo</t>
  </si>
  <si>
    <t>Discount factor</t>
  </si>
  <si>
    <t>Redemption payment</t>
  </si>
  <si>
    <t>Total PV</t>
  </si>
  <si>
    <t>Alternative 1 - IRR</t>
  </si>
  <si>
    <t>Alternative 2 - XIRR</t>
  </si>
  <si>
    <t>i(12)/12</t>
  </si>
  <si>
    <t>This method gives a slightly different solution as the XIRR function takes account of actual month lengths</t>
  </si>
  <si>
    <t>Total Cashflow</t>
  </si>
  <si>
    <t>Date</t>
  </si>
  <si>
    <t>Minimum yield achieved</t>
  </si>
  <si>
    <t>t</t>
  </si>
  <si>
    <t>r</t>
  </si>
  <si>
    <t>ft,r</t>
  </si>
  <si>
    <t>(i)</t>
  </si>
  <si>
    <t>(iii)</t>
  </si>
  <si>
    <t>Alternative (iii)</t>
  </si>
  <si>
    <t>(iv)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</si>
  <si>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t,r</t>
    </r>
  </si>
  <si>
    <r>
      <t>(1+f</t>
    </r>
    <r>
      <rPr>
        <b/>
        <vertAlign val="subscript"/>
        <sz val="11"/>
        <color theme="1"/>
        <rFont val="Calibri"/>
        <family val="2"/>
        <scheme val="minor"/>
      </rPr>
      <t>t,r</t>
    </r>
    <r>
      <rPr>
        <b/>
        <sz val="11"/>
        <color theme="1"/>
        <rFont val="Calibri"/>
        <family val="2"/>
        <scheme val="minor"/>
      </rPr>
      <t>)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</si>
  <si>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</si>
  <si>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(1+y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)</t>
    </r>
    <r>
      <rPr>
        <b/>
        <vertAlign val="superscript"/>
        <sz val="11"/>
        <color theme="1"/>
        <rFont val="Calibri"/>
        <family val="2"/>
        <scheme val="minor"/>
      </rPr>
      <t>-t</t>
    </r>
  </si>
  <si>
    <t>Par Yield</t>
  </si>
  <si>
    <t>PV Coupon</t>
  </si>
  <si>
    <t>PV redemption</t>
  </si>
  <si>
    <r>
      <t>(1+i)</t>
    </r>
    <r>
      <rPr>
        <b/>
        <vertAlign val="superscript"/>
        <sz val="11"/>
        <color theme="1"/>
        <rFont val="Calibri"/>
        <family val="2"/>
        <scheme val="minor"/>
      </rPr>
      <t>-t</t>
    </r>
  </si>
  <si>
    <t>Yield to Maturity</t>
  </si>
  <si>
    <t>Price</t>
  </si>
  <si>
    <t>Solver/Goalseek used to find the yield to maturity by equating the price to £0.99.</t>
  </si>
  <si>
    <t>Total</t>
  </si>
  <si>
    <t>Goalseek setting J26 to 100</t>
  </si>
  <si>
    <t>by changing cell K2</t>
  </si>
  <si>
    <t>(ii)</t>
  </si>
  <si>
    <t>The yield curve has a upward sloping shape. It is an increasing yield curve.</t>
  </si>
  <si>
    <t>Expectation Theory</t>
  </si>
  <si>
    <t xml:space="preserve">The market expects interest rates to rise in the future.  </t>
  </si>
  <si>
    <t>The demand for for long term bonds is lower than for short term bonds.</t>
  </si>
  <si>
    <t>Liquidity Preference</t>
  </si>
  <si>
    <t>Changes in interest rates will impact bonds with longer outstanding terms more than bonds with shorter outstanding terms.</t>
  </si>
  <si>
    <t>There is therefore a greater risk of loss on longer term bonds.</t>
  </si>
  <si>
    <t>Risk-averse investors are assumed to require compensation for this greater risk through higher yields</t>
  </si>
  <si>
    <t>Market Segmentation</t>
  </si>
  <si>
    <t>Bonds of differing terms tend to be  purchased by different types of investor.</t>
  </si>
  <si>
    <t>e.g. Pension funds have long term liabilities and so are interested in long dated bonds,  whilst general insurers tend</t>
  </si>
  <si>
    <t>to have short term liabilities and so would be more interested in shorter term bonds.</t>
  </si>
  <si>
    <t xml:space="preserve">The interplay of demand from these various investors and supply  (of bonds from governments and companies) wll </t>
  </si>
  <si>
    <t>produce the term structure of interest rates.</t>
  </si>
  <si>
    <t>[Maximum 3]</t>
  </si>
  <si>
    <t>See separate sheet</t>
  </si>
  <si>
    <t>20-year par yield</t>
  </si>
  <si>
    <t>Yield to maturity</t>
  </si>
  <si>
    <t>You should assume that deaths occur uniformly over each policy year.</t>
  </si>
  <si>
    <t>Conventional With Profits</t>
  </si>
  <si>
    <t>Basic sum assured</t>
  </si>
  <si>
    <t>Bonuses are added at the end of each policy year. (So the death benefit in any given year does not include the bonus relating to the policy year of death).</t>
  </si>
  <si>
    <t>Super Compound Bonuses</t>
  </si>
  <si>
    <t>bonus on basic sum assured</t>
  </si>
  <si>
    <t>bonus on bonuses added to the policy in previous policy years.</t>
  </si>
  <si>
    <t>Terminal Bonus payable on death (as a percentage of basic sum assured plus bonuses added prior to death)</t>
  </si>
  <si>
    <t xml:space="preserve"> year</t>
  </si>
  <si>
    <t>1-10</t>
  </si>
  <si>
    <t>11-15</t>
  </si>
  <si>
    <t>16-20</t>
  </si>
  <si>
    <t>21-25</t>
  </si>
  <si>
    <t>Terminal Bonus on maturity</t>
  </si>
  <si>
    <t>Unitised With Profits</t>
  </si>
  <si>
    <t>Annual Premium</t>
  </si>
  <si>
    <t>payable annually in advance</t>
  </si>
  <si>
    <t>Allocation rates - percentage of premium allocated to buy units</t>
  </si>
  <si>
    <t>Year</t>
  </si>
  <si>
    <t>rate</t>
  </si>
  <si>
    <t>4+</t>
  </si>
  <si>
    <t>Bid offer spread</t>
  </si>
  <si>
    <t>Annual management charge deducted from the unit fund at the end of each year</t>
  </si>
  <si>
    <t>Unit Growth rate</t>
  </si>
  <si>
    <t>per annum</t>
  </si>
  <si>
    <t>Terminal Bonus payable on death (as a percentage of the fund value)</t>
  </si>
  <si>
    <t>year</t>
  </si>
  <si>
    <t>1-5</t>
  </si>
  <si>
    <t>6-10</t>
  </si>
  <si>
    <t xml:space="preserve">There is an additional minimum monetary payment on death </t>
  </si>
  <si>
    <t>(UWP only)</t>
  </si>
  <si>
    <t>Basic Sum Assured</t>
  </si>
  <si>
    <t>Bonus</t>
  </si>
  <si>
    <t>Super Bonus</t>
  </si>
  <si>
    <t>Total Bonus</t>
  </si>
  <si>
    <t xml:space="preserve">Total Benefit </t>
  </si>
  <si>
    <t>Terminal Bonus</t>
  </si>
  <si>
    <t>TB added</t>
  </si>
  <si>
    <t>Benefit on death during year</t>
  </si>
  <si>
    <t>Maturity Benefit</t>
  </si>
  <si>
    <t>Fund at start</t>
  </si>
  <si>
    <t>Allocation rate</t>
  </si>
  <si>
    <t>Allocated Premium</t>
  </si>
  <si>
    <t>Fund after allocated Premium</t>
  </si>
  <si>
    <t>Unit fund at mid year</t>
  </si>
  <si>
    <t>Unit fund before AMC</t>
  </si>
  <si>
    <t>AMC</t>
  </si>
  <si>
    <t>Fund at end</t>
  </si>
  <si>
    <t>Benefit on death before minimum</t>
  </si>
  <si>
    <t>(i}</t>
  </si>
  <si>
    <t>Conventional</t>
  </si>
  <si>
    <t>Unitised</t>
  </si>
  <si>
    <t>Pricing / reserving assumptions</t>
  </si>
  <si>
    <t>Claims experience</t>
  </si>
  <si>
    <t>Table A</t>
  </si>
  <si>
    <t>Table B</t>
  </si>
  <si>
    <t>Pricing / Reserving Basis</t>
  </si>
  <si>
    <t>Assurance</t>
  </si>
  <si>
    <t>Annuity</t>
  </si>
  <si>
    <t>Age x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</si>
  <si>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</si>
  <si>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Calendar Year</t>
  </si>
  <si>
    <t>Policy Year</t>
  </si>
  <si>
    <t>Claims paid</t>
  </si>
  <si>
    <t>Reduction in annual benefit</t>
  </si>
  <si>
    <t>Term Assurances</t>
  </si>
  <si>
    <t>Mortality</t>
  </si>
  <si>
    <t>100% of table A</t>
  </si>
  <si>
    <t xml:space="preserve">Interest rate </t>
  </si>
  <si>
    <t>per annum effective</t>
  </si>
  <si>
    <t>Temporary Level Annuities</t>
  </si>
  <si>
    <t>100% of table B</t>
  </si>
  <si>
    <t>Interest rate</t>
  </si>
  <si>
    <t>You should ignore expenses</t>
  </si>
  <si>
    <t>[3]</t>
  </si>
  <si>
    <t>Term Assurance Policies</t>
  </si>
  <si>
    <t>Temporary Annuities</t>
  </si>
  <si>
    <t>Policy Year n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</si>
  <si>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</si>
  <si>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rPr>
        <b/>
        <vertAlign val="subscript"/>
        <sz val="11"/>
        <color theme="1"/>
        <rFont val="Calibri"/>
        <family val="2"/>
        <scheme val="minor"/>
      </rPr>
      <t>n-1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</si>
  <si>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Discount Factor</t>
  </si>
  <si>
    <t>PV of Benefits</t>
  </si>
  <si>
    <t>PV of Premiums</t>
  </si>
  <si>
    <t>Total annual premium</t>
  </si>
  <si>
    <t>Total premium</t>
  </si>
  <si>
    <t>Abarx:&lt;16-n&gt;</t>
  </si>
  <si>
    <t>aduex:&lt;n&gt;</t>
  </si>
  <si>
    <t>Premium</t>
  </si>
  <si>
    <t>ax</t>
  </si>
  <si>
    <t>per unit SA</t>
  </si>
  <si>
    <t>Remaining benefit/annuity IF at end of year</t>
  </si>
  <si>
    <t>Term Assurance</t>
  </si>
  <si>
    <t>Temporary Annuity</t>
  </si>
  <si>
    <t>End of Policy Year</t>
  </si>
  <si>
    <t>PV Benefit</t>
  </si>
  <si>
    <t>PV Premium</t>
  </si>
  <si>
    <t>Reserve at end year</t>
  </si>
  <si>
    <t>Reworked figures from (i)</t>
  </si>
  <si>
    <t>Actual px</t>
  </si>
  <si>
    <t>Actual qx</t>
  </si>
  <si>
    <t>Actual n-1px</t>
  </si>
  <si>
    <t>PV Benefits</t>
  </si>
  <si>
    <t>PV Premiums</t>
  </si>
  <si>
    <t>Adjusted reserve used?</t>
  </si>
  <si>
    <t>Y</t>
  </si>
  <si>
    <t>Y or N</t>
  </si>
  <si>
    <t>When toggle = Y, the answer is theoretically correct. When N, the reserve is used directly from (ii).</t>
  </si>
  <si>
    <t>Reserve at year end</t>
  </si>
  <si>
    <t>Death Strain at Risk</t>
  </si>
  <si>
    <t>Expected Death Strain</t>
  </si>
  <si>
    <t>Actual Death Strain</t>
  </si>
  <si>
    <t>Mortality Profit EOY</t>
  </si>
  <si>
    <t>Cumulative total to EOY</t>
  </si>
  <si>
    <t>15 year Term Assurance</t>
  </si>
  <si>
    <t>15 year Temporary Life Annuity</t>
  </si>
  <si>
    <t>Mortality Loss</t>
  </si>
  <si>
    <t>Alternative solution</t>
  </si>
  <si>
    <t>Reserve held at start</t>
  </si>
  <si>
    <t>Premiums received</t>
  </si>
  <si>
    <t>Interest earned</t>
  </si>
  <si>
    <t>Benefits paid</t>
  </si>
  <si>
    <t>Reserve required at end</t>
  </si>
  <si>
    <t>Interest earned on reserve</t>
  </si>
  <si>
    <t>Premium received</t>
  </si>
  <si>
    <t>Fund held Accumulated to EOY</t>
  </si>
  <si>
    <t>Assurance policies make a mortality profit when the mortality is lower than expected.</t>
  </si>
  <si>
    <t>Annuities make a profit when the mortality is higher than expected.</t>
  </si>
  <si>
    <t>In this case we had a loss on the assurance policies and gain on the annuities.</t>
  </si>
  <si>
    <t>So for both policy types mortality was higher than expected over the term.</t>
  </si>
  <si>
    <t>In light of this the insurance company may wish to review its mortality assumptions.</t>
  </si>
  <si>
    <t>The timing of deaths will affect the mortality profit.  Even if the total number of deaths is as expected,</t>
  </si>
  <si>
    <t>deaths occurring much earlier or later than expected would impact the mortality profit.</t>
  </si>
  <si>
    <t>It is also possible is that the policyholders who have died were policyholders with larger than</t>
  </si>
  <si>
    <t xml:space="preserve">average sums assured. </t>
  </si>
  <si>
    <t>This would give their deaths greater weighting when calculating the mortality loss/profit.</t>
  </si>
  <si>
    <t>The company should also investigate the numbers of claimants compared with expected</t>
  </si>
  <si>
    <t>when reviewing its mortality assumptions.</t>
  </si>
  <si>
    <t>[Maximum 6]</t>
  </si>
  <si>
    <t>Year n</t>
  </si>
  <si>
    <t>Total Mortality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</si>
</sst>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£&quot;#,##0.00;[Red]\-&quot;£&quot;#,##0.00"/>
    <numFmt numFmtId="43" formatCode="_-* #,##0.00_-;\-* #,##0.00_-;_-* &quot;-&quot;??_-;_-@_-"/>
    <numFmt numFmtId="164" formatCode="0.0000"/>
    <numFmt numFmtId="165" formatCode="0.0%"/>
    <numFmt numFmtId="166" formatCode="_-* #,##0_-;\-* #,##0_-;_-* &quot;-&quot;??_-;_-@_-"/>
    <numFmt numFmtId="167" formatCode="_-[$$-409]* #,##0_ ;_-[$$-409]* \-#,##0\ ;_-[$$-409]* &quot;-&quot;??_ ;_-@_ "/>
    <numFmt numFmtId="168" formatCode="_-[$$-409]* #,##0.00_ ;_-[$$-409]* \-#,##0.00\ ;_-[$$-409]* &quot;-&quot;??_ ;_-@_ "/>
    <numFmt numFmtId="169" formatCode="_-* #,##0.0000000_-;\-* #,##0.0000000_-;_-* &quot;-&quot;??_-;_-@_-"/>
    <numFmt numFmtId="170" formatCode="_-* #,##0.000_-;\-* #,##0.000_-;_-* &quot;-&quot;??_-;_-@_-"/>
    <numFmt numFmtId="171" formatCode="_-* #,##0.000000_-;\-* #,##0.000000_-;_-* &quot;-&quot;??_-;_-@_-"/>
    <numFmt numFmtId="172" formatCode="0.0000%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/>
    <xf numFmtId="9" fontId="6" fillId="0" borderId="0"/>
  </cellStyleXfs>
  <cellXfs count="79">
    <xf numFmtId="0" fontId="0" fillId="0" borderId="0" xfId="0"/>
    <xf numFmtId="0" fontId="2" fillId="0" borderId="0" xfId="0" applyFont="1"/>
    <xf numFmtId="10" fontId="0" fillId="0" borderId="0" xfId="0" applyNumberFormat="1"/>
    <xf numFmtId="0" fontId="3" fillId="0" borderId="0" xfId="0" applyFont="1"/>
    <xf numFmtId="9" fontId="0" fillId="0" borderId="0" xfId="0" applyNumberForma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6" fillId="0" borderId="0" xfId="2" applyNumberFormat="1"/>
    <xf numFmtId="164" fontId="0" fillId="0" borderId="0" xfId="0" applyNumberFormat="1"/>
    <xf numFmtId="8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165" fontId="0" fillId="0" borderId="0" xfId="0" applyNumberFormat="1"/>
    <xf numFmtId="0" fontId="0" fillId="0" borderId="0" xfId="0" quotePrefix="1"/>
    <xf numFmtId="0" fontId="0" fillId="0" borderId="0" xfId="0" quotePrefix="1" applyAlignment="1">
      <alignment horizontal="right"/>
    </xf>
    <xf numFmtId="43" fontId="6" fillId="0" borderId="0" xfId="1"/>
    <xf numFmtId="166" fontId="6" fillId="0" borderId="0" xfId="1" applyNumberForma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7" fontId="0" fillId="0" borderId="0" xfId="0" applyNumberFormat="1"/>
    <xf numFmtId="10" fontId="0" fillId="0" borderId="0" xfId="0" applyNumberForma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8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169" fontId="6" fillId="0" borderId="0" xfId="1" applyNumberFormat="1"/>
    <xf numFmtId="167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166" fontId="6" fillId="0" borderId="0" xfId="1" applyNumberForma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170" fontId="6" fillId="0" borderId="0" xfId="1" applyNumberFormat="1"/>
    <xf numFmtId="10" fontId="2" fillId="0" borderId="0" xfId="0" applyNumberFormat="1" applyFont="1"/>
    <xf numFmtId="0" fontId="9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3" borderId="0" xfId="0" applyFill="1"/>
    <xf numFmtId="0" fontId="2" fillId="3" borderId="0" xfId="0" applyFont="1" applyFill="1" applyAlignment="1">
      <alignment horizontal="right"/>
    </xf>
    <xf numFmtId="10" fontId="0" fillId="3" borderId="0" xfId="0" applyNumberFormat="1" applyFill="1"/>
    <xf numFmtId="10" fontId="0" fillId="4" borderId="0" xfId="0" applyNumberFormat="1" applyFill="1"/>
    <xf numFmtId="0" fontId="2" fillId="4" borderId="0" xfId="0" applyFont="1" applyFill="1" applyAlignment="1">
      <alignment horizontal="center" wrapText="1"/>
    </xf>
    <xf numFmtId="0" fontId="0" fillId="4" borderId="0" xfId="0" applyFill="1"/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167" fontId="0" fillId="6" borderId="0" xfId="0" applyNumberFormat="1" applyFill="1"/>
    <xf numFmtId="43" fontId="0" fillId="0" borderId="0" xfId="0" applyNumberFormat="1"/>
    <xf numFmtId="171" fontId="6" fillId="0" borderId="0" xfId="1" applyNumberFormat="1"/>
    <xf numFmtId="167" fontId="2" fillId="0" borderId="0" xfId="0" applyNumberFormat="1" applyFont="1" applyAlignment="1">
      <alignment horizontal="right"/>
    </xf>
    <xf numFmtId="0" fontId="2" fillId="9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7" fontId="2" fillId="0" borderId="0" xfId="0" applyNumberFormat="1" applyFont="1"/>
    <xf numFmtId="0" fontId="10" fillId="0" borderId="0" xfId="0" applyFont="1" applyAlignment="1">
      <alignment horizontal="center"/>
    </xf>
    <xf numFmtId="0" fontId="1" fillId="0" borderId="0" xfId="0" applyFont="1"/>
    <xf numFmtId="172" fontId="10" fillId="0" borderId="0" xfId="0" applyNumberFormat="1" applyFont="1" applyAlignment="1">
      <alignment horizontal="center"/>
    </xf>
    <xf numFmtId="43" fontId="1" fillId="0" borderId="0" xfId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prstGeom prst="rect">
          <a:avLst/>
        </a:prstGeom>
        <a:noFill/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775371828521436E-2"/>
          <c:y val="0.17171296296296298"/>
          <c:w val="0.88073862642169731"/>
          <c:h val="0.720887649460484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'Q2 all parts'!$E$3</c:f>
              <c:strCache>
                <c:ptCount val="1"/>
                <c:pt idx="0">
                  <c:v>yt</c:v>
                </c:pt>
              </c:strCache>
            </c:strRef>
          </c:tx>
          <c:spPr>
            <a:prstGeom prst="rect">
              <a:avLst/>
            </a:prstGeom>
            <a:ln w="19050" cap="rnd">
              <a:solidFill>
                <a:schemeClr val="accent1"/>
              </a:solidFill>
              <a:round/>
            </a:ln>
          </c:spPr>
          <c:marker>
            <c:symbol val="none"/>
          </c:marker>
          <c:yVal>
            <c:numRef>
              <c:f>'Q2 all parts'!$E$5:$E$29</c:f>
              <c:numCache>
                <c:formatCode>0.00%</c:formatCode>
                <c:ptCount val="25"/>
                <c:pt idx="0">
                  <c:v>2.5000000000000001E-2</c:v>
                </c:pt>
                <c:pt idx="1">
                  <c:v>2.5249969519628879E-2</c:v>
                </c:pt>
                <c:pt idx="2">
                  <c:v>2.5666477117376463E-2</c:v>
                </c:pt>
                <c:pt idx="3">
                  <c:v>2.6199442278564966E-2</c:v>
                </c:pt>
                <c:pt idx="4">
                  <c:v>2.6958430281006418E-2</c:v>
                </c:pt>
                <c:pt idx="5">
                  <c:v>2.7796978275606898E-2</c:v>
                </c:pt>
                <c:pt idx="6">
                  <c:v>2.8680840710980426E-2</c:v>
                </c:pt>
                <c:pt idx="7">
                  <c:v>2.9592900288942348E-2</c:v>
                </c:pt>
                <c:pt idx="8">
                  <c:v>3.0523649789092389E-2</c:v>
                </c:pt>
                <c:pt idx="9">
                  <c:v>3.1467386136336151E-2</c:v>
                </c:pt>
                <c:pt idx="10">
                  <c:v>3.2420480873686985E-2</c:v>
                </c:pt>
                <c:pt idx="11">
                  <c:v>3.333926367492146E-2</c:v>
                </c:pt>
                <c:pt idx="12">
                  <c:v>3.4231605224278816E-2</c:v>
                </c:pt>
                <c:pt idx="13">
                  <c:v>3.5067796138153806E-2</c:v>
                </c:pt>
                <c:pt idx="14">
                  <c:v>3.5826042480712417E-2</c:v>
                </c:pt>
                <c:pt idx="15">
                  <c:v>3.6508531822868839E-2</c:v>
                </c:pt>
                <c:pt idx="16">
                  <c:v>3.7122756496530407E-2</c:v>
                </c:pt>
                <c:pt idx="17">
                  <c:v>3.7680050638520424E-2</c:v>
                </c:pt>
                <c:pt idx="18">
                  <c:v>3.8194587402438307E-2</c:v>
                </c:pt>
                <c:pt idx="19">
                  <c:v>3.8682671978860883E-2</c:v>
                </c:pt>
                <c:pt idx="20">
                  <c:v>3.914807254833752E-2</c:v>
                </c:pt>
                <c:pt idx="21">
                  <c:v>3.9593873537734803E-2</c:v>
                </c:pt>
                <c:pt idx="22">
                  <c:v>4.0022623978343441E-2</c:v>
                </c:pt>
                <c:pt idx="23">
                  <c:v>4.043644884241604E-2</c:v>
                </c:pt>
                <c:pt idx="24">
                  <c:v>4.0856945213119999E-2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7C-4DD5-9566-3E145B8A2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380216"/>
        <c:axId val="594382840"/>
      </c:scatterChart>
      <c:valAx>
        <c:axId val="594380216"/>
        <c:scaling>
          <c:orientation val="minMax"/>
        </c:scaling>
        <c:delete val="0"/>
        <c:axPos val="b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</a:defRPr>
            </a:pPr>
            <a:endParaRPr lang="en-US"/>
          </a:p>
        </c:txPr>
        <c:crossAx val="594382840"/>
        <c:crosses val="autoZero"/>
        <c:crossBetween val="midCat"/>
      </c:valAx>
      <c:valAx>
        <c:axId val="594382840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</a:defRPr>
            </a:pPr>
            <a:endParaRPr lang="en-US"/>
          </a:p>
        </c:txPr>
        <c:crossAx val="594380216"/>
        <c:crosses val="autoZero"/>
        <c:crossBetween val="midCat"/>
      </c:valAx>
      <c:spPr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28</xdr:row>
      <xdr:rowOff>42861</xdr:rowOff>
    </xdr:from>
    <xdr:to>
      <xdr:col>16</xdr:col>
      <xdr:colOff>295275</xdr:colOff>
      <xdr:row>42</xdr:row>
      <xdr:rowOff>119062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1"/>
  <sheetViews>
    <sheetView workbookViewId="0">
      <selection activeCell="D14" sqref="D14"/>
    </sheetView>
  </sheetViews>
  <sheetFormatPr defaultRowHeight="15" x14ac:dyDescent="0.25"/>
  <cols>
    <col min="1" max="1" width="12" bestFit="1" customWidth="1"/>
    <col min="2" max="2" width="8.140625" bestFit="1" customWidth="1"/>
    <col min="5" max="5" width="16.140625" bestFit="1" customWidth="1"/>
    <col min="9" max="9" width="3" customWidth="1"/>
    <col min="12" max="12" width="12.140625" customWidth="1"/>
  </cols>
  <sheetData>
    <row r="2" spans="1:18" x14ac:dyDescent="0.25">
      <c r="A2" s="1" t="s">
        <v>0</v>
      </c>
      <c r="B2" s="42">
        <v>3.04839491035854E-2</v>
      </c>
      <c r="C2" s="3" t="s">
        <v>1</v>
      </c>
      <c r="H2" s="39" t="s">
        <v>2</v>
      </c>
      <c r="I2" s="39"/>
      <c r="J2" s="39"/>
      <c r="K2" s="39"/>
      <c r="L2" s="39"/>
      <c r="M2" s="39"/>
      <c r="N2" s="39"/>
      <c r="O2" s="39"/>
      <c r="P2" s="39"/>
      <c r="Q2" s="39"/>
    </row>
    <row r="3" spans="1:18" x14ac:dyDescent="0.25">
      <c r="A3" s="1" t="s">
        <v>3</v>
      </c>
      <c r="B3" s="2">
        <v>3.7499999999999999E-2</v>
      </c>
      <c r="D3" s="1" t="s">
        <v>4</v>
      </c>
      <c r="F3" s="4">
        <v>0.22</v>
      </c>
      <c r="H3" s="39" t="s">
        <v>5</v>
      </c>
      <c r="I3" s="39"/>
      <c r="J3" s="39"/>
      <c r="K3" s="39"/>
      <c r="L3" s="39"/>
      <c r="M3" s="39"/>
      <c r="N3" s="39"/>
      <c r="O3" s="39"/>
      <c r="P3" s="39"/>
      <c r="Q3" s="39"/>
    </row>
    <row r="4" spans="1:18" x14ac:dyDescent="0.25">
      <c r="A4" s="1" t="s">
        <v>6</v>
      </c>
      <c r="B4" s="2">
        <v>1.0349999999999999</v>
      </c>
      <c r="D4" s="1" t="s">
        <v>7</v>
      </c>
      <c r="F4" s="4">
        <v>0.27</v>
      </c>
      <c r="H4" s="39" t="s">
        <v>8</v>
      </c>
      <c r="I4" s="39"/>
      <c r="J4" s="39"/>
      <c r="K4" s="39"/>
      <c r="L4" s="40"/>
      <c r="M4" s="41"/>
      <c r="N4" s="39"/>
      <c r="O4" s="39"/>
      <c r="P4" s="39"/>
      <c r="Q4" s="39"/>
    </row>
    <row r="5" spans="1:18" x14ac:dyDescent="0.25">
      <c r="H5" s="39" t="s">
        <v>9</v>
      </c>
      <c r="I5" s="39"/>
      <c r="J5" s="39"/>
      <c r="K5" s="39"/>
      <c r="L5" s="39"/>
      <c r="M5" s="39"/>
      <c r="N5" s="39"/>
      <c r="O5" s="39"/>
      <c r="P5" s="39"/>
      <c r="Q5" s="39"/>
      <c r="R5" s="6" t="s">
        <v>1</v>
      </c>
    </row>
    <row r="6" spans="1:18" x14ac:dyDescent="0.25">
      <c r="A6" s="1"/>
      <c r="B6" s="2"/>
    </row>
    <row r="7" spans="1:18" s="6" customFormat="1" x14ac:dyDescent="0.25">
      <c r="B7" s="6" t="s">
        <v>10</v>
      </c>
      <c r="C7" s="6" t="s">
        <v>10</v>
      </c>
      <c r="D7" s="6" t="s">
        <v>1</v>
      </c>
      <c r="E7" s="6" t="s">
        <v>10</v>
      </c>
      <c r="F7" s="6" t="s">
        <v>10</v>
      </c>
      <c r="G7" s="6" t="s">
        <v>10</v>
      </c>
      <c r="H7" s="6" t="s">
        <v>11</v>
      </c>
    </row>
    <row r="8" spans="1:18" s="7" customFormat="1" ht="33" customHeight="1" x14ac:dyDescent="0.25">
      <c r="A8" s="7" t="s">
        <v>12</v>
      </c>
      <c r="B8" s="38" t="s">
        <v>13</v>
      </c>
      <c r="C8" s="43" t="s">
        <v>14</v>
      </c>
      <c r="D8" s="38" t="s">
        <v>3</v>
      </c>
      <c r="E8" s="38" t="s">
        <v>15</v>
      </c>
      <c r="F8" s="38" t="s">
        <v>4</v>
      </c>
      <c r="G8" s="38" t="s">
        <v>7</v>
      </c>
      <c r="H8" s="43" t="s">
        <v>16</v>
      </c>
    </row>
    <row r="9" spans="1:18" x14ac:dyDescent="0.25">
      <c r="A9">
        <v>0</v>
      </c>
      <c r="B9">
        <v>100</v>
      </c>
      <c r="C9">
        <f t="shared" ref="C9:C49" si="0">(1+$B$2)^-$A9</f>
        <v>1</v>
      </c>
      <c r="F9">
        <f t="shared" ref="F9:F49" si="1">D9*$F$3</f>
        <v>0</v>
      </c>
      <c r="G9">
        <f t="shared" ref="G9:G49" si="2">MAX(E9-$B$9,0)*$F$4</f>
        <v>0</v>
      </c>
      <c r="H9">
        <f t="shared" ref="H9:H49" si="3">(-$B9+D9+E9-F9*(1+$B$2)^-0.25-G9*(1+$B$2)^-(5/12))*$C9</f>
        <v>-100</v>
      </c>
    </row>
    <row r="10" spans="1:18" x14ac:dyDescent="0.25">
      <c r="A10">
        <v>0.5</v>
      </c>
      <c r="C10">
        <f t="shared" si="0"/>
        <v>0.98509787949938299</v>
      </c>
      <c r="D10">
        <f t="shared" ref="D10:D49" si="4">$B$3/2*$B$9</f>
        <v>1.875</v>
      </c>
      <c r="F10">
        <f t="shared" si="1"/>
        <v>0.41249999999999998</v>
      </c>
      <c r="G10">
        <f t="shared" si="2"/>
        <v>0</v>
      </c>
      <c r="H10">
        <f t="shared" si="3"/>
        <v>1.4437447733738333</v>
      </c>
    </row>
    <row r="11" spans="1:18" x14ac:dyDescent="0.25">
      <c r="A11">
        <v>1</v>
      </c>
      <c r="C11">
        <f t="shared" si="0"/>
        <v>0.97041783219418098</v>
      </c>
      <c r="D11">
        <f t="shared" si="4"/>
        <v>1.875</v>
      </c>
      <c r="F11">
        <f t="shared" si="1"/>
        <v>0.41249999999999998</v>
      </c>
      <c r="G11">
        <f t="shared" si="2"/>
        <v>0</v>
      </c>
      <c r="H11">
        <f t="shared" si="3"/>
        <v>1.4222299147888806</v>
      </c>
    </row>
    <row r="12" spans="1:18" x14ac:dyDescent="0.25">
      <c r="A12">
        <v>1.5</v>
      </c>
      <c r="C12">
        <f t="shared" si="0"/>
        <v>0.95595654872287572</v>
      </c>
      <c r="D12">
        <f t="shared" si="4"/>
        <v>1.875</v>
      </c>
      <c r="F12">
        <f t="shared" si="1"/>
        <v>0.41249999999999998</v>
      </c>
      <c r="G12">
        <f t="shared" si="2"/>
        <v>0</v>
      </c>
      <c r="H12">
        <f t="shared" si="3"/>
        <v>1.4010356732191143</v>
      </c>
    </row>
    <row r="13" spans="1:18" x14ac:dyDescent="0.25">
      <c r="A13">
        <v>2</v>
      </c>
      <c r="C13">
        <f t="shared" si="0"/>
        <v>0.94171076904045359</v>
      </c>
      <c r="D13">
        <f t="shared" si="4"/>
        <v>1.875</v>
      </c>
      <c r="F13">
        <f t="shared" si="1"/>
        <v>0.41249999999999998</v>
      </c>
      <c r="G13">
        <f t="shared" si="2"/>
        <v>0</v>
      </c>
      <c r="H13">
        <f t="shared" si="3"/>
        <v>1.3801572707911403</v>
      </c>
    </row>
    <row r="14" spans="1:18" x14ac:dyDescent="0.25">
      <c r="A14">
        <v>2.5</v>
      </c>
      <c r="C14">
        <f t="shared" si="0"/>
        <v>0.92767728168348418</v>
      </c>
      <c r="D14">
        <f t="shared" si="4"/>
        <v>1.875</v>
      </c>
      <c r="F14">
        <f t="shared" si="1"/>
        <v>0.41249999999999998</v>
      </c>
      <c r="G14">
        <f t="shared" si="2"/>
        <v>0</v>
      </c>
      <c r="H14">
        <f t="shared" si="3"/>
        <v>1.3595900008320081</v>
      </c>
    </row>
    <row r="15" spans="1:18" x14ac:dyDescent="0.25">
      <c r="A15">
        <v>3</v>
      </c>
      <c r="C15">
        <f t="shared" si="0"/>
        <v>0.91385292304615195</v>
      </c>
      <c r="D15">
        <f t="shared" si="4"/>
        <v>1.875</v>
      </c>
      <c r="F15">
        <f t="shared" si="1"/>
        <v>0.41249999999999998</v>
      </c>
      <c r="G15">
        <f t="shared" si="2"/>
        <v>0</v>
      </c>
      <c r="H15">
        <f t="shared" si="3"/>
        <v>1.3393292268081753</v>
      </c>
    </row>
    <row r="16" spans="1:18" x14ac:dyDescent="0.25">
      <c r="A16">
        <v>3.5</v>
      </c>
      <c r="C16">
        <f t="shared" si="0"/>
        <v>0.90023457666707729</v>
      </c>
      <c r="D16">
        <f t="shared" si="4"/>
        <v>1.875</v>
      </c>
      <c r="F16">
        <f t="shared" si="1"/>
        <v>0.41249999999999998</v>
      </c>
      <c r="G16">
        <f t="shared" si="2"/>
        <v>0</v>
      </c>
      <c r="H16">
        <f t="shared" si="3"/>
        <v>1.3193703812802819</v>
      </c>
    </row>
    <row r="17" spans="1:8" x14ac:dyDescent="0.25">
      <c r="A17">
        <v>4</v>
      </c>
      <c r="C17">
        <f t="shared" si="0"/>
        <v>0.88681917252676257</v>
      </c>
      <c r="D17">
        <f t="shared" si="4"/>
        <v>1.875</v>
      </c>
      <c r="F17">
        <f t="shared" si="1"/>
        <v>0.41249999999999998</v>
      </c>
      <c r="G17">
        <f t="shared" si="2"/>
        <v>0</v>
      </c>
      <c r="H17">
        <f t="shared" si="3"/>
        <v>1.2997089648734983</v>
      </c>
    </row>
    <row r="18" spans="1:8" x14ac:dyDescent="0.25">
      <c r="A18">
        <v>4.5</v>
      </c>
      <c r="C18">
        <f t="shared" si="0"/>
        <v>0.87360368635551133</v>
      </c>
      <c r="D18">
        <f t="shared" si="4"/>
        <v>1.875</v>
      </c>
      <c r="F18">
        <f t="shared" si="1"/>
        <v>0.41249999999999998</v>
      </c>
      <c r="G18">
        <f t="shared" si="2"/>
        <v>0</v>
      </c>
      <c r="H18">
        <f t="shared" si="3"/>
        <v>1.2803405452632213</v>
      </c>
    </row>
    <row r="19" spans="1:8" x14ac:dyDescent="0.25">
      <c r="A19">
        <v>5</v>
      </c>
      <c r="C19">
        <f t="shared" si="0"/>
        <v>0.86058513895165833</v>
      </c>
      <c r="D19">
        <f t="shared" si="4"/>
        <v>1.875</v>
      </c>
      <c r="F19">
        <f t="shared" si="1"/>
        <v>0.41249999999999998</v>
      </c>
      <c r="G19">
        <f t="shared" si="2"/>
        <v>0</v>
      </c>
      <c r="H19">
        <f t="shared" si="3"/>
        <v>1.2612607561758831</v>
      </c>
    </row>
    <row r="20" spans="1:8" x14ac:dyDescent="0.25">
      <c r="A20">
        <v>5.5</v>
      </c>
      <c r="C20">
        <f t="shared" si="0"/>
        <v>0.84776059550996052</v>
      </c>
      <c r="D20">
        <f t="shared" si="4"/>
        <v>1.875</v>
      </c>
      <c r="F20">
        <f t="shared" si="1"/>
        <v>0.41249999999999998</v>
      </c>
      <c r="G20">
        <f t="shared" si="2"/>
        <v>0</v>
      </c>
      <c r="H20">
        <f t="shared" si="3"/>
        <v>1.2424652964046508</v>
      </c>
    </row>
    <row r="21" spans="1:8" x14ac:dyDescent="0.25">
      <c r="A21">
        <v>6</v>
      </c>
      <c r="C21">
        <f t="shared" si="0"/>
        <v>0.83512716495999617</v>
      </c>
      <c r="D21">
        <f t="shared" si="4"/>
        <v>1.875</v>
      </c>
      <c r="F21">
        <f t="shared" si="1"/>
        <v>0.41249999999999998</v>
      </c>
      <c r="G21">
        <f t="shared" si="2"/>
        <v>0</v>
      </c>
      <c r="H21">
        <f t="shared" si="3"/>
        <v>1.2239499288397937</v>
      </c>
    </row>
    <row r="22" spans="1:8" x14ac:dyDescent="0.25">
      <c r="A22">
        <v>6.5</v>
      </c>
      <c r="C22">
        <f t="shared" si="0"/>
        <v>0.82268199931442376</v>
      </c>
      <c r="D22">
        <f t="shared" si="4"/>
        <v>1.875</v>
      </c>
      <c r="F22">
        <f t="shared" si="1"/>
        <v>0.41249999999999998</v>
      </c>
      <c r="G22">
        <f t="shared" si="2"/>
        <v>0</v>
      </c>
      <c r="H22">
        <f t="shared" si="3"/>
        <v>1.2057104795135019</v>
      </c>
    </row>
    <row r="23" spans="1:8" x14ac:dyDescent="0.25">
      <c r="A23">
        <v>7</v>
      </c>
      <c r="C23">
        <f t="shared" si="0"/>
        <v>0.81042229302695157</v>
      </c>
      <c r="D23">
        <f t="shared" si="4"/>
        <v>1.875</v>
      </c>
      <c r="F23">
        <f t="shared" si="1"/>
        <v>0.41249999999999998</v>
      </c>
      <c r="G23">
        <f t="shared" si="2"/>
        <v>0</v>
      </c>
      <c r="H23">
        <f t="shared" si="3"/>
        <v>1.1877428366589347</v>
      </c>
    </row>
    <row r="24" spans="1:8" x14ac:dyDescent="0.25">
      <c r="A24">
        <v>7.5</v>
      </c>
      <c r="C24">
        <f t="shared" si="0"/>
        <v>0.79834528235987778</v>
      </c>
      <c r="D24">
        <f t="shared" si="4"/>
        <v>1.875</v>
      </c>
      <c r="F24">
        <f t="shared" si="1"/>
        <v>0.41249999999999998</v>
      </c>
      <c r="G24">
        <f t="shared" si="2"/>
        <v>0</v>
      </c>
      <c r="H24">
        <f t="shared" si="3"/>
        <v>1.1700429497832987</v>
      </c>
    </row>
    <row r="25" spans="1:8" x14ac:dyDescent="0.25">
      <c r="A25">
        <v>8</v>
      </c>
      <c r="C25">
        <f t="shared" si="0"/>
        <v>0.78644824476105191</v>
      </c>
      <c r="D25">
        <f t="shared" si="4"/>
        <v>1.875</v>
      </c>
      <c r="F25">
        <f t="shared" si="1"/>
        <v>0.41249999999999998</v>
      </c>
      <c r="G25">
        <f t="shared" si="2"/>
        <v>0</v>
      </c>
      <c r="H25">
        <f t="shared" si="3"/>
        <v>1.1526068287547309</v>
      </c>
    </row>
    <row r="26" spans="1:8" x14ac:dyDescent="0.25">
      <c r="A26">
        <v>8.5</v>
      </c>
      <c r="C26">
        <f t="shared" si="0"/>
        <v>0.77472849825012402</v>
      </c>
      <c r="D26">
        <f t="shared" si="4"/>
        <v>1.875</v>
      </c>
      <c r="F26">
        <f t="shared" si="1"/>
        <v>0.41249999999999998</v>
      </c>
      <c r="G26">
        <f t="shared" si="2"/>
        <v>0</v>
      </c>
      <c r="H26">
        <f t="shared" si="3"/>
        <v>1.135430542902794</v>
      </c>
    </row>
    <row r="27" spans="1:8" x14ac:dyDescent="0.25">
      <c r="A27">
        <v>9</v>
      </c>
      <c r="C27">
        <f t="shared" si="0"/>
        <v>0.76318340081393865</v>
      </c>
      <c r="D27">
        <f t="shared" si="4"/>
        <v>1.875</v>
      </c>
      <c r="F27">
        <f t="shared" si="1"/>
        <v>0.41249999999999998</v>
      </c>
      <c r="G27">
        <f t="shared" si="2"/>
        <v>0</v>
      </c>
      <c r="H27">
        <f t="shared" si="3"/>
        <v>1.1185102201323756</v>
      </c>
    </row>
    <row r="28" spans="1:8" x14ac:dyDescent="0.25">
      <c r="A28">
        <v>9.5</v>
      </c>
      <c r="C28">
        <f t="shared" si="0"/>
        <v>0.75181034981093864</v>
      </c>
      <c r="D28">
        <f t="shared" si="4"/>
        <v>1.875</v>
      </c>
      <c r="F28">
        <f t="shared" si="1"/>
        <v>0.41249999999999998</v>
      </c>
      <c r="G28">
        <f t="shared" si="2"/>
        <v>0</v>
      </c>
      <c r="H28">
        <f t="shared" si="3"/>
        <v>1.1018420460507912</v>
      </c>
    </row>
    <row r="29" spans="1:8" x14ac:dyDescent="0.25">
      <c r="A29">
        <v>10</v>
      </c>
      <c r="C29">
        <f t="shared" si="0"/>
        <v>0.74060678138444502</v>
      </c>
      <c r="D29">
        <f t="shared" si="4"/>
        <v>1.875</v>
      </c>
      <c r="F29">
        <f t="shared" si="1"/>
        <v>0.41249999999999998</v>
      </c>
      <c r="G29">
        <f t="shared" si="2"/>
        <v>0</v>
      </c>
      <c r="H29">
        <f t="shared" si="3"/>
        <v>1.085422263107896</v>
      </c>
    </row>
    <row r="30" spans="1:8" x14ac:dyDescent="0.25">
      <c r="A30">
        <v>10.5</v>
      </c>
      <c r="C30">
        <f t="shared" si="0"/>
        <v>0.72957016988468004</v>
      </c>
      <c r="D30">
        <f t="shared" si="4"/>
        <v>1.875</v>
      </c>
      <c r="F30">
        <f t="shared" si="1"/>
        <v>0.41249999999999998</v>
      </c>
      <c r="G30">
        <f t="shared" si="2"/>
        <v>0</v>
      </c>
      <c r="H30">
        <f t="shared" si="3"/>
        <v>1.0692471697490098</v>
      </c>
    </row>
    <row r="31" spans="1:8" x14ac:dyDescent="0.25">
      <c r="A31">
        <v>11</v>
      </c>
      <c r="C31">
        <f t="shared" si="0"/>
        <v>0.7186980272994028</v>
      </c>
      <c r="D31">
        <f t="shared" si="4"/>
        <v>1.875</v>
      </c>
      <c r="F31">
        <f t="shared" si="1"/>
        <v>0.41249999999999998</v>
      </c>
      <c r="G31">
        <f t="shared" si="2"/>
        <v>0</v>
      </c>
      <c r="H31">
        <f t="shared" si="3"/>
        <v>1.0533131195804664</v>
      </c>
    </row>
    <row r="32" spans="1:8" x14ac:dyDescent="0.25">
      <c r="A32">
        <v>11.5</v>
      </c>
      <c r="C32">
        <f t="shared" si="0"/>
        <v>0.70798790269303147</v>
      </c>
      <c r="D32">
        <f t="shared" si="4"/>
        <v>1.875</v>
      </c>
      <c r="F32">
        <f t="shared" si="1"/>
        <v>0.41249999999999998</v>
      </c>
      <c r="G32">
        <f t="shared" si="2"/>
        <v>0</v>
      </c>
      <c r="H32">
        <f t="shared" si="3"/>
        <v>1.0376165205475976</v>
      </c>
    </row>
    <row r="33" spans="1:8" x14ac:dyDescent="0.25">
      <c r="A33">
        <v>12</v>
      </c>
      <c r="C33">
        <f t="shared" si="0"/>
        <v>0.69743738165412084</v>
      </c>
      <c r="D33">
        <f t="shared" si="4"/>
        <v>1.875</v>
      </c>
      <c r="F33">
        <f t="shared" si="1"/>
        <v>0.41249999999999998</v>
      </c>
      <c r="G33">
        <f t="shared" si="2"/>
        <v>0</v>
      </c>
      <c r="H33">
        <f t="shared" si="3"/>
        <v>1.0221538341249663</v>
      </c>
    </row>
    <row r="34" spans="1:8" x14ac:dyDescent="0.25">
      <c r="A34">
        <v>12.5</v>
      </c>
      <c r="C34">
        <f t="shared" si="0"/>
        <v>0.68704408575107634</v>
      </c>
      <c r="D34">
        <f t="shared" si="4"/>
        <v>1.875</v>
      </c>
      <c r="F34">
        <f t="shared" si="1"/>
        <v>0.41249999999999998</v>
      </c>
      <c r="G34">
        <f t="shared" si="2"/>
        <v>0</v>
      </c>
      <c r="H34">
        <f t="shared" si="3"/>
        <v>1.0069215745186684</v>
      </c>
    </row>
    <row r="35" spans="1:8" x14ac:dyDescent="0.25">
      <c r="A35">
        <v>13</v>
      </c>
      <c r="C35">
        <f t="shared" si="0"/>
        <v>0.67680567199597752</v>
      </c>
      <c r="D35">
        <f t="shared" si="4"/>
        <v>1.875</v>
      </c>
      <c r="F35">
        <f t="shared" si="1"/>
        <v>0.41249999999999998</v>
      </c>
      <c r="G35">
        <f t="shared" si="2"/>
        <v>0</v>
      </c>
      <c r="H35">
        <f t="shared" si="3"/>
        <v>0.99191630788052021</v>
      </c>
    </row>
    <row r="36" spans="1:8" x14ac:dyDescent="0.25">
      <c r="A36">
        <v>13.5</v>
      </c>
      <c r="C36">
        <f t="shared" si="0"/>
        <v>0.66671983231639254</v>
      </c>
      <c r="D36">
        <f t="shared" si="4"/>
        <v>1.875</v>
      </c>
      <c r="F36">
        <f t="shared" si="1"/>
        <v>0.41249999999999998</v>
      </c>
      <c r="G36">
        <f t="shared" si="2"/>
        <v>0</v>
      </c>
      <c r="H36">
        <f t="shared" si="3"/>
        <v>0.97713465153395773</v>
      </c>
    </row>
    <row r="37" spans="1:8" x14ac:dyDescent="0.25">
      <c r="A37">
        <v>14</v>
      </c>
      <c r="C37">
        <f t="shared" si="0"/>
        <v>0.65678429303506236</v>
      </c>
      <c r="D37">
        <f t="shared" si="4"/>
        <v>1.875</v>
      </c>
      <c r="F37">
        <f t="shared" si="1"/>
        <v>0.41249999999999998</v>
      </c>
      <c r="G37">
        <f t="shared" si="2"/>
        <v>0</v>
      </c>
      <c r="H37">
        <f t="shared" si="3"/>
        <v>0.96257327321147013</v>
      </c>
    </row>
    <row r="38" spans="1:8" x14ac:dyDescent="0.25">
      <c r="A38">
        <v>14.5</v>
      </c>
      <c r="C38">
        <f t="shared" si="0"/>
        <v>0.64699681435734147</v>
      </c>
      <c r="D38">
        <f t="shared" si="4"/>
        <v>1.875</v>
      </c>
      <c r="F38">
        <f t="shared" si="1"/>
        <v>0.41249999999999998</v>
      </c>
      <c r="G38">
        <f t="shared" si="2"/>
        <v>0</v>
      </c>
      <c r="H38">
        <f t="shared" si="3"/>
        <v>0.94822889030339963</v>
      </c>
    </row>
    <row r="39" spans="1:8" x14ac:dyDescent="0.25">
      <c r="A39">
        <v>15</v>
      </c>
      <c r="C39">
        <f t="shared" si="0"/>
        <v>0.63735518986627293</v>
      </c>
      <c r="D39">
        <f t="shared" si="4"/>
        <v>1.875</v>
      </c>
      <c r="F39">
        <f t="shared" si="1"/>
        <v>0.41249999999999998</v>
      </c>
      <c r="G39">
        <f t="shared" si="2"/>
        <v>0</v>
      </c>
      <c r="H39">
        <f t="shared" si="3"/>
        <v>0.93409826911793192</v>
      </c>
    </row>
    <row r="40" spans="1:8" x14ac:dyDescent="0.25">
      <c r="A40">
        <v>15.5</v>
      </c>
      <c r="C40">
        <f t="shared" si="0"/>
        <v>0.62785724602519233</v>
      </c>
      <c r="D40">
        <f t="shared" si="4"/>
        <v>1.875</v>
      </c>
      <c r="F40">
        <f t="shared" si="1"/>
        <v>0.41249999999999998</v>
      </c>
      <c r="G40">
        <f t="shared" si="2"/>
        <v>0</v>
      </c>
      <c r="H40">
        <f t="shared" si="3"/>
        <v>0.92017822415211903</v>
      </c>
    </row>
    <row r="41" spans="1:8" x14ac:dyDescent="0.25">
      <c r="A41">
        <v>16</v>
      </c>
      <c r="C41">
        <f t="shared" si="0"/>
        <v>0.61850084168773933</v>
      </c>
      <c r="D41">
        <f t="shared" si="4"/>
        <v>1.875</v>
      </c>
      <c r="F41">
        <f t="shared" si="1"/>
        <v>0.41249999999999998</v>
      </c>
      <c r="G41">
        <f t="shared" si="2"/>
        <v>0</v>
      </c>
      <c r="H41">
        <f t="shared" si="3"/>
        <v>0.9064656173737603</v>
      </c>
    </row>
    <row r="42" spans="1:8" x14ac:dyDescent="0.25">
      <c r="A42">
        <v>16.5</v>
      </c>
      <c r="C42">
        <f t="shared" si="0"/>
        <v>0.60928386761517561</v>
      </c>
      <c r="D42">
        <f t="shared" si="4"/>
        <v>1.875</v>
      </c>
      <c r="F42">
        <f t="shared" si="1"/>
        <v>0.41249999999999998</v>
      </c>
      <c r="G42">
        <f t="shared" si="2"/>
        <v>0</v>
      </c>
      <c r="H42">
        <f t="shared" si="3"/>
        <v>0.89295735751399041</v>
      </c>
    </row>
    <row r="43" spans="1:8" x14ac:dyDescent="0.25">
      <c r="A43">
        <v>17</v>
      </c>
      <c r="C43">
        <f t="shared" si="0"/>
        <v>0.60020424600089239</v>
      </c>
      <c r="D43">
        <f t="shared" si="4"/>
        <v>1.875</v>
      </c>
      <c r="F43">
        <f t="shared" si="1"/>
        <v>0.41249999999999998</v>
      </c>
      <c r="G43">
        <f t="shared" si="2"/>
        <v>0</v>
      </c>
      <c r="H43">
        <f t="shared" si="3"/>
        <v>0.87965039937040457</v>
      </c>
    </row>
    <row r="44" spans="1:8" x14ac:dyDescent="0.25">
      <c r="A44">
        <v>17.5</v>
      </c>
      <c r="C44">
        <f t="shared" si="0"/>
        <v>0.59125993000200516</v>
      </c>
      <c r="D44">
        <f t="shared" si="4"/>
        <v>1.875</v>
      </c>
      <c r="F44">
        <f t="shared" si="1"/>
        <v>0.41249999999999998</v>
      </c>
      <c r="G44">
        <f t="shared" si="2"/>
        <v>0</v>
      </c>
      <c r="H44">
        <f t="shared" si="3"/>
        <v>0.86654174312057097</v>
      </c>
    </row>
    <row r="45" spans="1:8" x14ac:dyDescent="0.25">
      <c r="A45">
        <v>18</v>
      </c>
      <c r="C45">
        <f t="shared" si="0"/>
        <v>0.58244890327792886</v>
      </c>
      <c r="D45">
        <f t="shared" si="4"/>
        <v>1.875</v>
      </c>
      <c r="F45">
        <f t="shared" si="1"/>
        <v>0.41249999999999998</v>
      </c>
      <c r="G45">
        <f t="shared" si="2"/>
        <v>0</v>
      </c>
      <c r="H45">
        <f t="shared" si="3"/>
        <v>0.85362843364577345</v>
      </c>
    </row>
    <row r="46" spans="1:8" x14ac:dyDescent="0.25">
      <c r="A46">
        <v>18.5</v>
      </c>
      <c r="C46">
        <f t="shared" si="0"/>
        <v>0.57376917953582895</v>
      </c>
      <c r="D46">
        <f t="shared" si="4"/>
        <v>1.875</v>
      </c>
      <c r="F46">
        <f t="shared" si="1"/>
        <v>0.41249999999999998</v>
      </c>
      <c r="G46">
        <f t="shared" si="2"/>
        <v>0</v>
      </c>
      <c r="H46">
        <f t="shared" si="3"/>
        <v>0.84090755986483112</v>
      </c>
    </row>
    <row r="47" spans="1:8" x14ac:dyDescent="0.25">
      <c r="A47">
        <v>19</v>
      </c>
      <c r="C47">
        <f t="shared" si="0"/>
        <v>0.56521880208284581</v>
      </c>
      <c r="D47">
        <f t="shared" si="4"/>
        <v>1.875</v>
      </c>
      <c r="F47">
        <f t="shared" si="1"/>
        <v>0.41249999999999998</v>
      </c>
      <c r="G47">
        <f t="shared" si="2"/>
        <v>0</v>
      </c>
      <c r="H47">
        <f t="shared" si="3"/>
        <v>0.82837625407784554</v>
      </c>
    </row>
    <row r="48" spans="1:8" x14ac:dyDescent="0.25">
      <c r="A48">
        <v>19.5</v>
      </c>
      <c r="C48">
        <f t="shared" si="0"/>
        <v>0.55679584338499299</v>
      </c>
      <c r="D48">
        <f t="shared" si="4"/>
        <v>1.875</v>
      </c>
      <c r="F48">
        <f t="shared" si="1"/>
        <v>0.41249999999999998</v>
      </c>
      <c r="G48">
        <f t="shared" si="2"/>
        <v>0</v>
      </c>
      <c r="H48">
        <f t="shared" si="3"/>
        <v>0.81603169131972797</v>
      </c>
    </row>
    <row r="49" spans="1:9" x14ac:dyDescent="0.25">
      <c r="A49">
        <v>20</v>
      </c>
      <c r="C49">
        <f t="shared" si="0"/>
        <v>0.54849840463262711</v>
      </c>
      <c r="D49">
        <f t="shared" si="4"/>
        <v>1.875</v>
      </c>
      <c r="E49">
        <f>$B$4*$B$9</f>
        <v>103.49999999999999</v>
      </c>
      <c r="F49">
        <f t="shared" si="1"/>
        <v>0.41249999999999998</v>
      </c>
      <c r="G49">
        <f t="shared" si="2"/>
        <v>0.94499999999999618</v>
      </c>
      <c r="H49">
        <f t="shared" si="3"/>
        <v>57.061569875185327</v>
      </c>
    </row>
    <row r="51" spans="1:9" x14ac:dyDescent="0.25">
      <c r="G51" s="1" t="s">
        <v>16</v>
      </c>
      <c r="H51" s="44">
        <f>SUM(H9:H50)</f>
        <v>1.6657471491043907E-6</v>
      </c>
      <c r="I51" s="3" t="s">
        <v>10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95"/>
  <sheetViews>
    <sheetView workbookViewId="0">
      <selection activeCell="I12" sqref="I12"/>
    </sheetView>
  </sheetViews>
  <sheetFormatPr defaultRowHeight="15" x14ac:dyDescent="0.25"/>
  <cols>
    <col min="1" max="1" width="9.140625" style="8"/>
    <col min="2" max="2" width="10.85546875" bestFit="1" customWidth="1"/>
    <col min="11" max="12" width="9.140625" style="8"/>
    <col min="13" max="13" width="11.140625" bestFit="1" customWidth="1"/>
    <col min="14" max="14" width="12" customWidth="1"/>
    <col min="15" max="15" width="12.140625" bestFit="1" customWidth="1"/>
  </cols>
  <sheetData>
    <row r="1" spans="1:17" x14ac:dyDescent="0.25">
      <c r="A1" s="74" t="s">
        <v>116</v>
      </c>
      <c r="B1" s="74"/>
      <c r="C1" s="74"/>
      <c r="D1" s="74"/>
      <c r="E1" s="74"/>
      <c r="F1" s="74"/>
      <c r="G1" s="74"/>
      <c r="H1" s="74"/>
      <c r="K1" s="74" t="s">
        <v>117</v>
      </c>
      <c r="L1" s="74"/>
      <c r="M1" s="74"/>
      <c r="N1" s="74"/>
      <c r="O1" s="1"/>
      <c r="P1" s="1"/>
      <c r="Q1" s="1"/>
    </row>
    <row r="2" spans="1:17" x14ac:dyDescent="0.25">
      <c r="K2" s="9"/>
      <c r="L2" s="9"/>
      <c r="M2" s="1"/>
      <c r="N2" s="1"/>
      <c r="O2" s="1"/>
      <c r="P2" s="1"/>
    </row>
    <row r="3" spans="1:17" x14ac:dyDescent="0.25">
      <c r="B3" s="9" t="s">
        <v>118</v>
      </c>
      <c r="C3" s="9" t="s">
        <v>119</v>
      </c>
      <c r="F3" s="1" t="s">
        <v>120</v>
      </c>
      <c r="K3" s="9"/>
      <c r="L3" s="9"/>
      <c r="M3" s="1" t="s">
        <v>121</v>
      </c>
      <c r="N3" s="9" t="s">
        <v>122</v>
      </c>
      <c r="O3" s="1"/>
      <c r="P3" s="1"/>
    </row>
    <row r="4" spans="1:17" ht="45" x14ac:dyDescent="0.35">
      <c r="A4" s="9" t="s">
        <v>123</v>
      </c>
      <c r="B4" s="9" t="s">
        <v>124</v>
      </c>
      <c r="C4" s="9" t="s">
        <v>124</v>
      </c>
      <c r="K4" s="7" t="s">
        <v>125</v>
      </c>
      <c r="L4" s="7" t="s">
        <v>126</v>
      </c>
      <c r="M4" s="7" t="s">
        <v>127</v>
      </c>
      <c r="N4" s="20" t="s">
        <v>128</v>
      </c>
      <c r="O4" s="1"/>
      <c r="P4" s="1"/>
    </row>
    <row r="5" spans="1:17" x14ac:dyDescent="0.25">
      <c r="A5" s="8">
        <v>30</v>
      </c>
      <c r="B5" s="21">
        <v>6.7400000000000001E-4</v>
      </c>
      <c r="F5" s="1" t="s">
        <v>129</v>
      </c>
      <c r="K5" s="8">
        <v>2008</v>
      </c>
      <c r="L5" s="8">
        <v>1</v>
      </c>
      <c r="M5" s="22">
        <v>110000</v>
      </c>
      <c r="N5" s="22">
        <v>10500</v>
      </c>
    </row>
    <row r="6" spans="1:17" x14ac:dyDescent="0.25">
      <c r="A6" s="8">
        <v>31</v>
      </c>
      <c r="B6" s="21">
        <v>7.1900000000000002E-4</v>
      </c>
      <c r="F6" t="s">
        <v>130</v>
      </c>
      <c r="H6" t="s">
        <v>131</v>
      </c>
      <c r="K6" s="8">
        <v>2009</v>
      </c>
      <c r="L6" s="8">
        <v>2</v>
      </c>
      <c r="M6" s="22">
        <v>0</v>
      </c>
      <c r="N6" s="22">
        <v>23000</v>
      </c>
    </row>
    <row r="7" spans="1:17" x14ac:dyDescent="0.25">
      <c r="A7" s="8">
        <v>32</v>
      </c>
      <c r="B7" s="21">
        <v>7.6900000000000004E-4</v>
      </c>
      <c r="F7" t="s">
        <v>132</v>
      </c>
      <c r="H7" s="23">
        <v>5.7500000000000002E-2</v>
      </c>
      <c r="I7" t="s">
        <v>133</v>
      </c>
      <c r="K7" s="8">
        <v>2010</v>
      </c>
      <c r="L7" s="8">
        <v>3</v>
      </c>
      <c r="M7" s="22">
        <v>0</v>
      </c>
      <c r="N7" s="22">
        <v>12500</v>
      </c>
    </row>
    <row r="8" spans="1:17" x14ac:dyDescent="0.25">
      <c r="A8" s="8">
        <v>33</v>
      </c>
      <c r="B8" s="21">
        <v>8.2600000000000002E-4</v>
      </c>
      <c r="K8" s="8">
        <v>2011</v>
      </c>
      <c r="L8" s="8">
        <v>4</v>
      </c>
      <c r="M8" s="22">
        <v>200000</v>
      </c>
      <c r="N8" s="22">
        <v>0</v>
      </c>
    </row>
    <row r="9" spans="1:17" x14ac:dyDescent="0.25">
      <c r="A9" s="8">
        <v>34</v>
      </c>
      <c r="B9" s="21">
        <v>8.9300000000000002E-4</v>
      </c>
      <c r="K9" s="8">
        <v>2012</v>
      </c>
      <c r="L9" s="8">
        <v>5</v>
      </c>
      <c r="M9" s="22">
        <v>0</v>
      </c>
      <c r="N9" s="22">
        <v>29500</v>
      </c>
    </row>
    <row r="10" spans="1:17" x14ac:dyDescent="0.25">
      <c r="A10" s="8">
        <v>35</v>
      </c>
      <c r="B10" s="21">
        <v>9.6900000000000003E-4</v>
      </c>
      <c r="F10" s="1" t="s">
        <v>134</v>
      </c>
      <c r="K10" s="8">
        <v>2013</v>
      </c>
      <c r="L10" s="8">
        <v>6</v>
      </c>
      <c r="M10" s="22">
        <v>95000</v>
      </c>
      <c r="N10" s="22">
        <v>0</v>
      </c>
    </row>
    <row r="11" spans="1:17" x14ac:dyDescent="0.25">
      <c r="A11" s="8">
        <v>36</v>
      </c>
      <c r="B11" s="21">
        <v>1.0549999999999999E-3</v>
      </c>
      <c r="F11" t="s">
        <v>130</v>
      </c>
      <c r="H11" t="s">
        <v>135</v>
      </c>
      <c r="K11" s="8">
        <v>2014</v>
      </c>
      <c r="L11" s="8">
        <v>7</v>
      </c>
      <c r="M11" s="22">
        <v>0</v>
      </c>
      <c r="N11" s="22">
        <v>12000</v>
      </c>
    </row>
    <row r="12" spans="1:17" x14ac:dyDescent="0.25">
      <c r="A12" s="8">
        <v>37</v>
      </c>
      <c r="B12" s="21">
        <v>1.1540000000000001E-3</v>
      </c>
      <c r="F12" t="s">
        <v>136</v>
      </c>
      <c r="H12" s="23">
        <v>4.2500000000000003E-2</v>
      </c>
      <c r="I12" t="s">
        <v>133</v>
      </c>
      <c r="K12" s="8">
        <v>2015</v>
      </c>
      <c r="L12" s="8">
        <v>8</v>
      </c>
      <c r="M12" s="22">
        <v>0</v>
      </c>
      <c r="N12" s="22">
        <v>0</v>
      </c>
    </row>
    <row r="13" spans="1:17" x14ac:dyDescent="0.25">
      <c r="A13" s="8">
        <v>38</v>
      </c>
      <c r="B13" s="21">
        <v>1.2669999999999999E-3</v>
      </c>
      <c r="K13" s="8">
        <v>2016</v>
      </c>
      <c r="L13" s="8">
        <v>9</v>
      </c>
      <c r="M13" s="22">
        <v>0</v>
      </c>
      <c r="N13" s="22">
        <v>20000</v>
      </c>
    </row>
    <row r="14" spans="1:17" x14ac:dyDescent="0.25">
      <c r="A14" s="8">
        <v>39</v>
      </c>
      <c r="B14" s="21">
        <v>1.3960000000000001E-3</v>
      </c>
      <c r="F14" t="s">
        <v>137</v>
      </c>
      <c r="K14" s="8">
        <v>2017</v>
      </c>
      <c r="L14" s="8">
        <v>10</v>
      </c>
      <c r="M14" s="22">
        <v>0</v>
      </c>
      <c r="N14" s="22">
        <v>0</v>
      </c>
    </row>
    <row r="15" spans="1:17" x14ac:dyDescent="0.25">
      <c r="A15" s="8">
        <v>40</v>
      </c>
      <c r="B15" s="21">
        <v>1.5430000000000001E-3</v>
      </c>
      <c r="K15" s="8">
        <v>2018</v>
      </c>
      <c r="L15" s="8">
        <v>11</v>
      </c>
      <c r="M15" s="22">
        <v>320000</v>
      </c>
      <c r="N15" s="22">
        <v>23000</v>
      </c>
    </row>
    <row r="16" spans="1:17" x14ac:dyDescent="0.25">
      <c r="A16" s="8">
        <v>41</v>
      </c>
      <c r="B16" s="21">
        <v>1.7110000000000001E-3</v>
      </c>
      <c r="K16" s="8">
        <v>2019</v>
      </c>
      <c r="L16" s="8">
        <v>12</v>
      </c>
      <c r="M16" s="22">
        <v>120000</v>
      </c>
      <c r="N16" s="22">
        <v>8000</v>
      </c>
    </row>
    <row r="17" spans="1:14" x14ac:dyDescent="0.25">
      <c r="A17" s="8">
        <v>42</v>
      </c>
      <c r="B17" s="21">
        <v>1.9009999999999999E-3</v>
      </c>
      <c r="K17" s="8">
        <v>2020</v>
      </c>
      <c r="L17" s="8">
        <v>13</v>
      </c>
      <c r="M17" s="22">
        <v>0</v>
      </c>
      <c r="N17" s="22">
        <v>23000</v>
      </c>
    </row>
    <row r="18" spans="1:14" x14ac:dyDescent="0.25">
      <c r="A18" s="8">
        <v>43</v>
      </c>
      <c r="B18" s="21">
        <v>2.117E-3</v>
      </c>
      <c r="K18" s="8">
        <v>2021</v>
      </c>
      <c r="L18" s="8">
        <v>14</v>
      </c>
      <c r="M18" s="22">
        <v>190000</v>
      </c>
      <c r="N18" s="22">
        <v>31000</v>
      </c>
    </row>
    <row r="19" spans="1:14" x14ac:dyDescent="0.25">
      <c r="A19" s="8">
        <v>44</v>
      </c>
      <c r="B19" s="21">
        <v>2.3630000000000001E-3</v>
      </c>
      <c r="K19" s="8">
        <v>2022</v>
      </c>
      <c r="L19" s="8">
        <v>15</v>
      </c>
      <c r="M19" s="22">
        <v>0</v>
      </c>
      <c r="N19" s="22">
        <v>0</v>
      </c>
    </row>
    <row r="20" spans="1:14" x14ac:dyDescent="0.25">
      <c r="A20" s="8">
        <v>45</v>
      </c>
      <c r="B20" s="21">
        <v>2.6419999999999998E-3</v>
      </c>
    </row>
    <row r="21" spans="1:14" x14ac:dyDescent="0.25">
      <c r="A21" s="8">
        <v>46</v>
      </c>
      <c r="B21" s="21">
        <v>2.957E-3</v>
      </c>
    </row>
    <row r="22" spans="1:14" x14ac:dyDescent="0.25">
      <c r="A22" s="8">
        <v>47</v>
      </c>
      <c r="B22" s="21">
        <v>3.3149999999999998E-3</v>
      </c>
    </row>
    <row r="23" spans="1:14" x14ac:dyDescent="0.25">
      <c r="A23" s="8">
        <v>48</v>
      </c>
      <c r="B23" s="21">
        <v>3.718E-3</v>
      </c>
    </row>
    <row r="24" spans="1:14" x14ac:dyDescent="0.25">
      <c r="A24" s="8">
        <v>49</v>
      </c>
      <c r="B24" s="21">
        <v>4.1739999999999998E-3</v>
      </c>
    </row>
    <row r="25" spans="1:14" x14ac:dyDescent="0.25">
      <c r="A25" s="8">
        <v>50</v>
      </c>
      <c r="B25" s="21">
        <v>4.6889999999999996E-3</v>
      </c>
    </row>
    <row r="26" spans="1:14" x14ac:dyDescent="0.25">
      <c r="A26" s="8">
        <v>51</v>
      </c>
      <c r="B26" s="21">
        <v>5.2690000000000002E-3</v>
      </c>
    </row>
    <row r="27" spans="1:14" x14ac:dyDescent="0.25">
      <c r="A27" s="8">
        <v>52</v>
      </c>
      <c r="B27" s="21">
        <v>5.9220000000000002E-3</v>
      </c>
    </row>
    <row r="28" spans="1:14" x14ac:dyDescent="0.25">
      <c r="A28" s="8">
        <v>53</v>
      </c>
      <c r="B28" s="21">
        <v>6.6559999999999996E-3</v>
      </c>
    </row>
    <row r="29" spans="1:14" x14ac:dyDescent="0.25">
      <c r="A29" s="8">
        <v>54</v>
      </c>
      <c r="B29" s="21">
        <v>7.4809999999999998E-3</v>
      </c>
    </row>
    <row r="30" spans="1:14" x14ac:dyDescent="0.25">
      <c r="A30" s="8">
        <v>55</v>
      </c>
      <c r="B30" s="21">
        <v>8.4060000000000003E-3</v>
      </c>
    </row>
    <row r="31" spans="1:14" x14ac:dyDescent="0.25">
      <c r="A31" s="8">
        <v>56</v>
      </c>
      <c r="B31" s="21">
        <v>9.4439999999999993E-3</v>
      </c>
    </row>
    <row r="32" spans="1:14" x14ac:dyDescent="0.25">
      <c r="A32" s="8">
        <v>57</v>
      </c>
      <c r="B32" s="21">
        <v>1.0606000000000001E-2</v>
      </c>
    </row>
    <row r="33" spans="1:3" x14ac:dyDescent="0.25">
      <c r="A33" s="8">
        <v>58</v>
      </c>
      <c r="B33" s="21">
        <v>1.1906E-2</v>
      </c>
    </row>
    <row r="34" spans="1:3" x14ac:dyDescent="0.25">
      <c r="A34" s="8">
        <v>59</v>
      </c>
      <c r="B34" s="21">
        <v>1.3357000000000001E-2</v>
      </c>
    </row>
    <row r="35" spans="1:3" x14ac:dyDescent="0.25">
      <c r="A35" s="8">
        <v>60</v>
      </c>
      <c r="B35" s="21">
        <v>1.4978E-2</v>
      </c>
      <c r="C35" s="21">
        <v>6.3099999999999996E-3</v>
      </c>
    </row>
    <row r="36" spans="1:3" x14ac:dyDescent="0.25">
      <c r="A36" s="8">
        <v>61</v>
      </c>
      <c r="B36" s="21">
        <v>1.6782999999999999E-2</v>
      </c>
      <c r="C36" s="21">
        <v>6.4675000000000002E-3</v>
      </c>
    </row>
    <row r="37" spans="1:3" x14ac:dyDescent="0.25">
      <c r="A37" s="8">
        <v>62</v>
      </c>
      <c r="B37" s="21">
        <v>1.8793000000000001E-2</v>
      </c>
      <c r="C37" s="21">
        <v>6.6680000000000003E-3</v>
      </c>
    </row>
    <row r="38" spans="1:3" x14ac:dyDescent="0.25">
      <c r="A38" s="8">
        <v>63</v>
      </c>
      <c r="B38" s="21">
        <v>2.1027000000000001E-2</v>
      </c>
      <c r="C38" s="21">
        <v>6.9199999999999999E-3</v>
      </c>
    </row>
    <row r="39" spans="1:3" x14ac:dyDescent="0.25">
      <c r="A39" s="8">
        <v>64</v>
      </c>
      <c r="B39" s="21">
        <v>2.3508999999999999E-2</v>
      </c>
      <c r="C39" s="21">
        <v>7.2350000000000001E-3</v>
      </c>
    </row>
    <row r="40" spans="1:3" x14ac:dyDescent="0.25">
      <c r="A40" s="8">
        <v>65</v>
      </c>
      <c r="B40" s="21">
        <v>2.6261E-2</v>
      </c>
      <c r="C40" s="21">
        <v>7.6267000000000001E-3</v>
      </c>
    </row>
    <row r="41" spans="1:3" x14ac:dyDescent="0.25">
      <c r="A41" s="8">
        <v>66</v>
      </c>
      <c r="B41" s="21">
        <v>2.9308000000000001E-2</v>
      </c>
      <c r="C41" s="21">
        <v>8.1118000000000006E-3</v>
      </c>
    </row>
    <row r="42" spans="1:3" x14ac:dyDescent="0.25">
      <c r="A42" s="8">
        <v>67</v>
      </c>
      <c r="B42" s="21">
        <v>3.2680000000000001E-2</v>
      </c>
      <c r="C42" s="21">
        <v>8.7103000000000007E-3</v>
      </c>
    </row>
    <row r="43" spans="1:3" x14ac:dyDescent="0.25">
      <c r="A43" s="8">
        <v>68</v>
      </c>
      <c r="B43" s="21">
        <v>3.6401999999999997E-2</v>
      </c>
      <c r="C43" s="21">
        <v>9.4441999999999998E-3</v>
      </c>
    </row>
    <row r="44" spans="1:3" x14ac:dyDescent="0.25">
      <c r="A44" s="8">
        <v>69</v>
      </c>
      <c r="B44" s="21">
        <v>4.0507000000000001E-2</v>
      </c>
      <c r="C44" s="21">
        <v>1.0337799999999999E-2</v>
      </c>
    </row>
    <row r="45" spans="1:3" x14ac:dyDescent="0.25">
      <c r="A45" s="8">
        <v>70</v>
      </c>
      <c r="B45" s="21">
        <v>4.5027999999999999E-2</v>
      </c>
      <c r="C45" s="21">
        <v>1.14235E-2</v>
      </c>
    </row>
    <row r="46" spans="1:3" x14ac:dyDescent="0.25">
      <c r="A46" s="8">
        <v>71</v>
      </c>
      <c r="B46" s="21">
        <v>4.9998000000000001E-2</v>
      </c>
      <c r="C46" s="21">
        <v>1.27318E-2</v>
      </c>
    </row>
    <row r="47" spans="1:3" x14ac:dyDescent="0.25">
      <c r="A47" s="8">
        <v>72</v>
      </c>
      <c r="B47" s="21">
        <v>5.5454000000000003E-2</v>
      </c>
      <c r="C47" s="21">
        <v>1.43026E-2</v>
      </c>
    </row>
    <row r="48" spans="1:3" x14ac:dyDescent="0.25">
      <c r="A48" s="8">
        <v>73</v>
      </c>
      <c r="B48" s="21">
        <v>6.1433000000000001E-2</v>
      </c>
      <c r="C48" s="21">
        <v>1.6177899999999999E-2</v>
      </c>
    </row>
    <row r="49" spans="1:3" x14ac:dyDescent="0.25">
      <c r="A49" s="8">
        <v>74</v>
      </c>
      <c r="B49" s="21">
        <v>6.7974000000000007E-2</v>
      </c>
      <c r="C49" s="21">
        <v>1.8403900000000001E-2</v>
      </c>
    </row>
    <row r="50" spans="1:3" x14ac:dyDescent="0.25">
      <c r="A50" s="8">
        <v>75</v>
      </c>
      <c r="B50" s="21">
        <v>7.5116000000000002E-2</v>
      </c>
      <c r="C50" s="21">
        <v>2.1031000000000001E-2</v>
      </c>
    </row>
    <row r="51" spans="1:3" x14ac:dyDescent="0.25">
      <c r="A51" s="8">
        <v>76</v>
      </c>
      <c r="B51" s="21">
        <v>8.2902000000000003E-2</v>
      </c>
      <c r="C51" s="21">
        <v>2.4114799999999999E-2</v>
      </c>
    </row>
    <row r="52" spans="1:3" x14ac:dyDescent="0.25">
      <c r="A52" s="8">
        <v>77</v>
      </c>
      <c r="B52" s="21">
        <v>9.1372999999999996E-2</v>
      </c>
      <c r="C52" s="21">
        <v>2.77132E-2</v>
      </c>
    </row>
    <row r="53" spans="1:3" x14ac:dyDescent="0.25">
      <c r="A53" s="8">
        <v>78</v>
      </c>
      <c r="B53" s="21">
        <v>0.10056900000000001</v>
      </c>
      <c r="C53" s="21">
        <v>3.1889000000000001E-2</v>
      </c>
    </row>
    <row r="54" spans="1:3" x14ac:dyDescent="0.25">
      <c r="A54" s="8">
        <v>79</v>
      </c>
      <c r="B54" s="21">
        <v>0.11053200000000001</v>
      </c>
      <c r="C54" s="21">
        <v>3.6703300000000001E-2</v>
      </c>
    </row>
    <row r="55" spans="1:3" x14ac:dyDescent="0.25">
      <c r="A55" s="8">
        <v>80</v>
      </c>
      <c r="B55" s="21">
        <v>0.12130299999999999</v>
      </c>
      <c r="C55" s="21">
        <v>4.22231E-2</v>
      </c>
    </row>
    <row r="56" spans="1:3" x14ac:dyDescent="0.25">
      <c r="A56" s="8">
        <v>81</v>
      </c>
      <c r="B56" s="21">
        <v>0.13291900000000001</v>
      </c>
      <c r="C56" s="21">
        <v>4.8511600000000002E-2</v>
      </c>
    </row>
    <row r="57" spans="1:3" x14ac:dyDescent="0.25">
      <c r="A57" s="8">
        <v>82</v>
      </c>
      <c r="B57" s="21">
        <v>0.14541699999999999</v>
      </c>
      <c r="C57" s="21">
        <v>5.5630600000000002E-2</v>
      </c>
    </row>
    <row r="58" spans="1:3" x14ac:dyDescent="0.25">
      <c r="A58" s="8">
        <v>83</v>
      </c>
      <c r="B58" s="21">
        <v>0.158831</v>
      </c>
      <c r="C58" s="21">
        <v>6.3638899999999998E-2</v>
      </c>
    </row>
    <row r="59" spans="1:3" x14ac:dyDescent="0.25">
      <c r="A59" s="8">
        <v>84</v>
      </c>
      <c r="B59" s="21">
        <v>0.17318700000000001</v>
      </c>
      <c r="C59" s="21">
        <v>7.2586999999999999E-2</v>
      </c>
    </row>
    <row r="60" spans="1:3" x14ac:dyDescent="0.25">
      <c r="A60" s="8">
        <v>85</v>
      </c>
      <c r="B60" s="21">
        <v>0.18851000000000001</v>
      </c>
      <c r="C60" s="21">
        <v>8.2519999999999996E-2</v>
      </c>
    </row>
    <row r="61" spans="1:3" x14ac:dyDescent="0.25">
      <c r="B61" s="21"/>
      <c r="C61" s="21"/>
    </row>
    <row r="62" spans="1:3" x14ac:dyDescent="0.25">
      <c r="B62" s="21"/>
      <c r="C62" s="21"/>
    </row>
    <row r="63" spans="1:3" x14ac:dyDescent="0.25">
      <c r="B63" s="21"/>
      <c r="C63" s="21"/>
    </row>
    <row r="64" spans="1:3" x14ac:dyDescent="0.25">
      <c r="B64" s="21"/>
      <c r="C64" s="21"/>
    </row>
    <row r="65" spans="2:3" x14ac:dyDescent="0.25">
      <c r="B65" s="21"/>
      <c r="C65" s="21"/>
    </row>
    <row r="66" spans="2:3" x14ac:dyDescent="0.25">
      <c r="B66" s="21"/>
      <c r="C66" s="21"/>
    </row>
    <row r="67" spans="2:3" x14ac:dyDescent="0.25">
      <c r="B67" s="21"/>
      <c r="C67" s="21"/>
    </row>
    <row r="68" spans="2:3" x14ac:dyDescent="0.25">
      <c r="B68" s="21"/>
      <c r="C68" s="21"/>
    </row>
    <row r="69" spans="2:3" x14ac:dyDescent="0.25">
      <c r="B69" s="21"/>
      <c r="C69" s="21"/>
    </row>
    <row r="70" spans="2:3" x14ac:dyDescent="0.25">
      <c r="B70" s="21"/>
      <c r="C70" s="21"/>
    </row>
    <row r="71" spans="2:3" x14ac:dyDescent="0.25">
      <c r="B71" s="21"/>
      <c r="C71" s="21"/>
    </row>
    <row r="72" spans="2:3" x14ac:dyDescent="0.25">
      <c r="B72" s="21"/>
      <c r="C72" s="21"/>
    </row>
    <row r="73" spans="2:3" x14ac:dyDescent="0.25">
      <c r="B73" s="21"/>
      <c r="C73" s="21"/>
    </row>
    <row r="74" spans="2:3" x14ac:dyDescent="0.25">
      <c r="B74" s="21"/>
      <c r="C74" s="21"/>
    </row>
    <row r="75" spans="2:3" x14ac:dyDescent="0.25">
      <c r="B75" s="21"/>
      <c r="C75" s="21"/>
    </row>
    <row r="76" spans="2:3" x14ac:dyDescent="0.25">
      <c r="B76" s="21"/>
      <c r="C76" s="21"/>
    </row>
    <row r="77" spans="2:3" x14ac:dyDescent="0.25">
      <c r="B77" s="21"/>
      <c r="C77" s="21"/>
    </row>
    <row r="78" spans="2:3" x14ac:dyDescent="0.25">
      <c r="B78" s="21"/>
      <c r="C78" s="21"/>
    </row>
    <row r="79" spans="2:3" x14ac:dyDescent="0.25">
      <c r="B79" s="21"/>
      <c r="C79" s="21"/>
    </row>
    <row r="80" spans="2:3" x14ac:dyDescent="0.25">
      <c r="B80" s="21"/>
      <c r="C80" s="21"/>
    </row>
    <row r="81" spans="2:3" x14ac:dyDescent="0.25">
      <c r="B81" s="21"/>
      <c r="C81" s="21"/>
    </row>
    <row r="82" spans="2:3" x14ac:dyDescent="0.25">
      <c r="B82" s="21"/>
      <c r="C82" s="21"/>
    </row>
    <row r="83" spans="2:3" x14ac:dyDescent="0.25">
      <c r="B83" s="21"/>
      <c r="C83" s="21"/>
    </row>
    <row r="84" spans="2:3" x14ac:dyDescent="0.25">
      <c r="B84" s="21"/>
      <c r="C84" s="21"/>
    </row>
    <row r="85" spans="2:3" x14ac:dyDescent="0.25">
      <c r="B85" s="21"/>
      <c r="C85" s="21"/>
    </row>
    <row r="86" spans="2:3" x14ac:dyDescent="0.25">
      <c r="B86" s="21"/>
      <c r="C86" s="21"/>
    </row>
    <row r="87" spans="2:3" x14ac:dyDescent="0.25">
      <c r="B87" s="21"/>
      <c r="C87" s="21"/>
    </row>
    <row r="88" spans="2:3" x14ac:dyDescent="0.25">
      <c r="B88" s="21"/>
      <c r="C88" s="21"/>
    </row>
    <row r="89" spans="2:3" x14ac:dyDescent="0.25">
      <c r="B89" s="21"/>
      <c r="C89" s="21"/>
    </row>
    <row r="90" spans="2:3" x14ac:dyDescent="0.25">
      <c r="B90" s="21"/>
      <c r="C90" s="21"/>
    </row>
    <row r="91" spans="2:3" x14ac:dyDescent="0.25">
      <c r="B91" s="21"/>
      <c r="C91" s="21"/>
    </row>
    <row r="92" spans="2:3" x14ac:dyDescent="0.25">
      <c r="B92" s="21"/>
      <c r="C92" s="21"/>
    </row>
    <row r="93" spans="2:3" x14ac:dyDescent="0.25">
      <c r="B93" s="21"/>
      <c r="C93" s="21"/>
    </row>
    <row r="94" spans="2:3" x14ac:dyDescent="0.25">
      <c r="B94" s="21"/>
      <c r="C94" s="21"/>
    </row>
    <row r="95" spans="2:3" x14ac:dyDescent="0.25">
      <c r="B95" s="21"/>
      <c r="C95" s="21"/>
    </row>
  </sheetData>
  <mergeCells count="2">
    <mergeCell ref="A1:H1"/>
    <mergeCell ref="K1:N1"/>
  </mergeCells>
  <printOptions gridLines="1" gridLinesSet="0"/>
  <pageMargins left="0.7" right="0.7" top="0.75" bottom="0.75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S21"/>
  <sheetViews>
    <sheetView topLeftCell="C1" workbookViewId="0">
      <selection activeCell="Q7" sqref="Q7"/>
    </sheetView>
  </sheetViews>
  <sheetFormatPr defaultRowHeight="15" x14ac:dyDescent="0.25"/>
  <cols>
    <col min="1" max="2" width="9.140625" style="8"/>
    <col min="7" max="7" width="12.28515625" customWidth="1"/>
    <col min="8" max="8" width="10.28515625" customWidth="1"/>
    <col min="9" max="9" width="12" customWidth="1"/>
    <col min="17" max="17" width="10.28515625" customWidth="1"/>
    <col min="18" max="18" width="11.28515625" bestFit="1" customWidth="1"/>
    <col min="19" max="19" width="10.7109375" bestFit="1" customWidth="1"/>
  </cols>
  <sheetData>
    <row r="2" spans="1:19" x14ac:dyDescent="0.25">
      <c r="F2" s="2">
        <v>5.7500000000000002E-2</v>
      </c>
      <c r="G2" s="22">
        <v>12800000</v>
      </c>
      <c r="P2" s="2">
        <v>4.2500000000000003E-2</v>
      </c>
      <c r="Q2" s="22">
        <v>640000</v>
      </c>
    </row>
    <row r="3" spans="1:19" x14ac:dyDescent="0.25">
      <c r="F3" s="2"/>
      <c r="G3" s="22"/>
      <c r="P3" s="2"/>
    </row>
    <row r="4" spans="1:19" s="6" customFormat="1" x14ac:dyDescent="0.25">
      <c r="C4" s="6" t="s">
        <v>10</v>
      </c>
      <c r="D4" s="6" t="s">
        <v>10</v>
      </c>
      <c r="E4" s="6" t="s">
        <v>10</v>
      </c>
      <c r="F4" s="6" t="s">
        <v>10</v>
      </c>
      <c r="G4" s="6" t="s">
        <v>138</v>
      </c>
      <c r="H4" s="6" t="s">
        <v>1</v>
      </c>
      <c r="I4" s="6" t="s">
        <v>1</v>
      </c>
      <c r="M4" s="6" t="s">
        <v>10</v>
      </c>
      <c r="P4" s="6" t="s">
        <v>10</v>
      </c>
      <c r="Q4" s="6" t="s">
        <v>1</v>
      </c>
      <c r="R4" s="6" t="s">
        <v>10</v>
      </c>
    </row>
    <row r="5" spans="1:19" s="1" customFormat="1" x14ac:dyDescent="0.25">
      <c r="A5" s="74" t="s">
        <v>139</v>
      </c>
      <c r="B5" s="74"/>
      <c r="C5" s="74"/>
      <c r="D5" s="74"/>
      <c r="E5" s="74"/>
      <c r="F5" s="74"/>
      <c r="G5" s="74"/>
      <c r="H5" s="74"/>
      <c r="I5" s="74"/>
      <c r="K5" s="76" t="s">
        <v>140</v>
      </c>
      <c r="L5" s="76"/>
      <c r="M5" s="76"/>
      <c r="N5" s="76"/>
      <c r="O5" s="76"/>
      <c r="P5" s="76"/>
      <c r="Q5" s="76"/>
      <c r="R5" s="76"/>
    </row>
    <row r="6" spans="1:19" s="24" customFormat="1" ht="30" x14ac:dyDescent="0.25">
      <c r="A6" s="20" t="s">
        <v>141</v>
      </c>
      <c r="B6" s="25" t="s">
        <v>123</v>
      </c>
      <c r="C6" s="54" t="s">
        <v>124</v>
      </c>
      <c r="D6" s="54" t="s">
        <v>142</v>
      </c>
      <c r="E6" s="54" t="s">
        <v>143</v>
      </c>
      <c r="F6" s="55" t="s">
        <v>144</v>
      </c>
      <c r="G6" s="55" t="s">
        <v>145</v>
      </c>
      <c r="H6" s="55" t="s">
        <v>146</v>
      </c>
      <c r="I6" s="55" t="s">
        <v>147</v>
      </c>
      <c r="K6" s="20" t="s">
        <v>141</v>
      </c>
      <c r="L6" s="25" t="s">
        <v>123</v>
      </c>
      <c r="M6" s="56" t="s">
        <v>124</v>
      </c>
      <c r="N6" s="56" t="s">
        <v>142</v>
      </c>
      <c r="O6" s="56" t="s">
        <v>143</v>
      </c>
      <c r="P6" s="57" t="s">
        <v>144</v>
      </c>
      <c r="Q6" s="57" t="s">
        <v>145</v>
      </c>
      <c r="R6" s="57" t="s">
        <v>148</v>
      </c>
    </row>
    <row r="7" spans="1:19" x14ac:dyDescent="0.25">
      <c r="A7" s="8">
        <v>1</v>
      </c>
      <c r="B7" s="8">
        <v>32</v>
      </c>
      <c r="C7">
        <f>'Q4 Base'!B7</f>
        <v>7.6900000000000004E-4</v>
      </c>
      <c r="D7">
        <f t="shared" ref="D7:D21" si="0">1-C7</f>
        <v>0.99923099999999998</v>
      </c>
      <c r="E7">
        <v>1</v>
      </c>
      <c r="F7">
        <f t="shared" ref="F7:F21" si="1">(1+$F$2)^-A7</f>
        <v>0.94562647754137108</v>
      </c>
      <c r="G7" s="26">
        <f>$G$2*C7*E7*F7*(1+$F$2)^0.5</f>
        <v>9571.8552287471721</v>
      </c>
      <c r="H7">
        <f>E7</f>
        <v>1</v>
      </c>
      <c r="I7" s="26">
        <f>SUM(G7:G21)/SUM(H7:H21)</f>
        <v>17626.807925900728</v>
      </c>
      <c r="K7" s="8">
        <v>1</v>
      </c>
      <c r="L7" s="8">
        <v>67</v>
      </c>
      <c r="M7">
        <f>'Q4 Base'!C42</f>
        <v>8.7103000000000007E-3</v>
      </c>
      <c r="N7">
        <f t="shared" ref="N7:N21" si="2">1-M7</f>
        <v>0.99128970000000005</v>
      </c>
      <c r="O7">
        <v>1</v>
      </c>
      <c r="P7">
        <f t="shared" ref="P7:P21" si="3">(1+$P$2)^-K7</f>
        <v>0.95923261390887293</v>
      </c>
      <c r="Q7" s="22">
        <f t="shared" ref="Q7:Q21" si="4">N7*O7*$Q$2*P7</f>
        <v>608561.54244604323</v>
      </c>
      <c r="R7" s="22">
        <f>SUM(Q7:Q21)</f>
        <v>6280627.1458329102</v>
      </c>
      <c r="S7" s="27"/>
    </row>
    <row r="8" spans="1:19" x14ac:dyDescent="0.25">
      <c r="A8" s="8">
        <v>2</v>
      </c>
      <c r="B8" s="8">
        <v>33</v>
      </c>
      <c r="C8">
        <f>'Q4 Base'!B8</f>
        <v>8.2600000000000002E-4</v>
      </c>
      <c r="D8">
        <f t="shared" si="0"/>
        <v>0.99917400000000001</v>
      </c>
      <c r="E8">
        <f t="shared" ref="E8:E21" si="5">D7*E7</f>
        <v>0.99923099999999998</v>
      </c>
      <c r="F8">
        <f t="shared" si="1"/>
        <v>0.8942094350273011</v>
      </c>
      <c r="G8" s="26">
        <f t="shared" ref="G8:G21" si="6">$G$2*C8*E8*F8*(1+$F$2)^0.5</f>
        <v>9714.8332812992776</v>
      </c>
      <c r="H8">
        <f t="shared" ref="H8:H21" si="7">F7*E8</f>
        <v>0.94489929078014179</v>
      </c>
      <c r="K8" s="8">
        <v>2</v>
      </c>
      <c r="L8" s="8">
        <v>68</v>
      </c>
      <c r="M8">
        <f>'Q4 Base'!C43</f>
        <v>9.4441999999999998E-3</v>
      </c>
      <c r="N8">
        <f t="shared" si="2"/>
        <v>0.99055579999999999</v>
      </c>
      <c r="O8">
        <f t="shared" ref="O8:O21" si="8">N7*O7</f>
        <v>0.99128970000000005</v>
      </c>
      <c r="P8">
        <f t="shared" si="3"/>
        <v>0.92012720758644884</v>
      </c>
      <c r="Q8" s="22">
        <f t="shared" si="4"/>
        <v>578239.00769963965</v>
      </c>
      <c r="S8" s="27"/>
    </row>
    <row r="9" spans="1:19" x14ac:dyDescent="0.25">
      <c r="A9" s="8">
        <v>3</v>
      </c>
      <c r="B9" s="8">
        <v>34</v>
      </c>
      <c r="C9">
        <f>'Q4 Base'!B9</f>
        <v>8.9300000000000002E-4</v>
      </c>
      <c r="D9">
        <f t="shared" si="0"/>
        <v>0.99910699999999997</v>
      </c>
      <c r="E9">
        <f t="shared" si="5"/>
        <v>0.99840563519399994</v>
      </c>
      <c r="F9">
        <f t="shared" si="1"/>
        <v>0.84558811822912627</v>
      </c>
      <c r="G9" s="26">
        <f t="shared" si="6"/>
        <v>9923.5602771681188</v>
      </c>
      <c r="H9">
        <f t="shared" si="7"/>
        <v>0.89278373897490038</v>
      </c>
      <c r="K9" s="8">
        <v>3</v>
      </c>
      <c r="L9" s="8">
        <v>69</v>
      </c>
      <c r="M9">
        <f>'Q4 Base'!C44</f>
        <v>1.0337799999999999E-2</v>
      </c>
      <c r="N9">
        <f t="shared" si="2"/>
        <v>0.98966220000000005</v>
      </c>
      <c r="O9">
        <f t="shared" si="8"/>
        <v>0.98192776181526009</v>
      </c>
      <c r="P9">
        <f t="shared" si="3"/>
        <v>0.88261602646182147</v>
      </c>
      <c r="Q9" s="22">
        <f t="shared" si="4"/>
        <v>548931.69159313408</v>
      </c>
      <c r="S9" s="27"/>
    </row>
    <row r="10" spans="1:19" x14ac:dyDescent="0.25">
      <c r="A10" s="8">
        <v>4</v>
      </c>
      <c r="B10" s="8">
        <v>35</v>
      </c>
      <c r="C10">
        <f>'Q4 Base'!B10</f>
        <v>9.6900000000000003E-4</v>
      </c>
      <c r="D10">
        <f t="shared" si="0"/>
        <v>0.999031</v>
      </c>
      <c r="E10">
        <f t="shared" si="5"/>
        <v>0.9975140589617717</v>
      </c>
      <c r="F10">
        <f t="shared" si="1"/>
        <v>0.7996105136918451</v>
      </c>
      <c r="G10" s="26">
        <f t="shared" si="6"/>
        <v>10173.524982241757</v>
      </c>
      <c r="H10">
        <f t="shared" si="7"/>
        <v>0.84348603602458228</v>
      </c>
      <c r="K10" s="8">
        <v>4</v>
      </c>
      <c r="L10" s="8">
        <v>70</v>
      </c>
      <c r="M10">
        <f>'Q4 Base'!C45</f>
        <v>1.14235E-2</v>
      </c>
      <c r="N10">
        <f t="shared" si="2"/>
        <v>0.98857649999999997</v>
      </c>
      <c r="O10">
        <f t="shared" si="8"/>
        <v>0.97177678899916631</v>
      </c>
      <c r="P10">
        <f t="shared" si="3"/>
        <v>0.84663407814083602</v>
      </c>
      <c r="Q10" s="22">
        <f t="shared" si="4"/>
        <v>520538.10111675784</v>
      </c>
      <c r="S10" s="27"/>
    </row>
    <row r="11" spans="1:19" x14ac:dyDescent="0.25">
      <c r="A11" s="8">
        <v>5</v>
      </c>
      <c r="B11" s="8">
        <v>36</v>
      </c>
      <c r="C11">
        <f>'Q4 Base'!B11</f>
        <v>1.0549999999999999E-3</v>
      </c>
      <c r="D11">
        <f t="shared" si="0"/>
        <v>0.99894499999999997</v>
      </c>
      <c r="E11">
        <f t="shared" si="5"/>
        <v>0.99654746783863779</v>
      </c>
      <c r="F11">
        <f t="shared" si="1"/>
        <v>0.75613287346746572</v>
      </c>
      <c r="G11" s="26">
        <f t="shared" si="6"/>
        <v>10464.023999339655</v>
      </c>
      <c r="H11">
        <f t="shared" si="7"/>
        <v>0.79684983267676068</v>
      </c>
      <c r="K11" s="8">
        <v>5</v>
      </c>
      <c r="L11" s="8">
        <v>71</v>
      </c>
      <c r="M11">
        <f>'Q4 Base'!C46</f>
        <v>1.27318E-2</v>
      </c>
      <c r="N11">
        <f t="shared" si="2"/>
        <v>0.98726820000000004</v>
      </c>
      <c r="O11">
        <f t="shared" si="8"/>
        <v>0.96067569685003429</v>
      </c>
      <c r="P11">
        <f t="shared" si="3"/>
        <v>0.81211901979936307</v>
      </c>
      <c r="Q11" s="22">
        <f t="shared" si="4"/>
        <v>492959.91762202349</v>
      </c>
      <c r="S11" s="27"/>
    </row>
    <row r="12" spans="1:19" x14ac:dyDescent="0.25">
      <c r="A12" s="8">
        <v>6</v>
      </c>
      <c r="B12" s="8">
        <v>37</v>
      </c>
      <c r="C12">
        <f>'Q4 Base'!B12</f>
        <v>1.1540000000000001E-3</v>
      </c>
      <c r="D12">
        <f t="shared" si="0"/>
        <v>0.99884600000000001</v>
      </c>
      <c r="E12">
        <f t="shared" si="5"/>
        <v>0.99549611026006801</v>
      </c>
      <c r="F12">
        <f t="shared" si="1"/>
        <v>0.71501926569027474</v>
      </c>
      <c r="G12" s="26">
        <f t="shared" si="6"/>
        <v>10812.180260553245</v>
      </c>
      <c r="H12">
        <f t="shared" si="7"/>
        <v>0.75272733437663031</v>
      </c>
      <c r="K12" s="8">
        <v>6</v>
      </c>
      <c r="L12" s="8">
        <v>72</v>
      </c>
      <c r="M12">
        <f>'Q4 Base'!C47</f>
        <v>1.43026E-2</v>
      </c>
      <c r="N12">
        <f t="shared" si="2"/>
        <v>0.98569739999999995</v>
      </c>
      <c r="O12">
        <f t="shared" si="8"/>
        <v>0.94844456601287908</v>
      </c>
      <c r="P12">
        <f t="shared" si="3"/>
        <v>0.7790110501672548</v>
      </c>
      <c r="Q12" s="22">
        <f t="shared" si="4"/>
        <v>466100.0566947172</v>
      </c>
      <c r="S12" s="27"/>
    </row>
    <row r="13" spans="1:19" x14ac:dyDescent="0.25">
      <c r="A13" s="8">
        <v>7</v>
      </c>
      <c r="B13" s="8">
        <v>38</v>
      </c>
      <c r="C13">
        <f>'Q4 Base'!B13</f>
        <v>1.2669999999999999E-3</v>
      </c>
      <c r="D13">
        <f t="shared" si="0"/>
        <v>0.99873299999999998</v>
      </c>
      <c r="E13">
        <f t="shared" si="5"/>
        <v>0.99434730774882796</v>
      </c>
      <c r="F13">
        <f t="shared" si="1"/>
        <v>0.67614114958891225</v>
      </c>
      <c r="G13" s="26">
        <f t="shared" si="6"/>
        <v>11212.494484590761</v>
      </c>
      <c r="H13">
        <f t="shared" si="7"/>
        <v>0.71097748182766862</v>
      </c>
      <c r="K13" s="8">
        <v>7</v>
      </c>
      <c r="L13" s="8">
        <v>73</v>
      </c>
      <c r="M13">
        <f>'Q4 Base'!C48</f>
        <v>1.6177899999999999E-2</v>
      </c>
      <c r="N13">
        <f t="shared" si="2"/>
        <v>0.98382210000000003</v>
      </c>
      <c r="O13">
        <f t="shared" si="8"/>
        <v>0.9348793427630232</v>
      </c>
      <c r="P13">
        <f t="shared" si="3"/>
        <v>0.74725280591583187</v>
      </c>
      <c r="Q13" s="22">
        <f t="shared" si="4"/>
        <v>439865.26291368419</v>
      </c>
      <c r="S13" s="27"/>
    </row>
    <row r="14" spans="1:19" x14ac:dyDescent="0.25">
      <c r="A14" s="8">
        <v>8</v>
      </c>
      <c r="B14" s="8">
        <v>39</v>
      </c>
      <c r="C14">
        <f>'Q4 Base'!B14</f>
        <v>1.3960000000000001E-3</v>
      </c>
      <c r="D14">
        <f t="shared" si="0"/>
        <v>0.99860400000000005</v>
      </c>
      <c r="E14">
        <f t="shared" si="5"/>
        <v>0.99308746970991013</v>
      </c>
      <c r="F14">
        <f t="shared" si="1"/>
        <v>0.63937697360653634</v>
      </c>
      <c r="G14" s="26">
        <f t="shared" si="6"/>
        <v>11667.560722313827</v>
      </c>
      <c r="H14">
        <f t="shared" si="7"/>
        <v>0.67146730341200267</v>
      </c>
      <c r="K14" s="8">
        <v>8</v>
      </c>
      <c r="L14" s="8">
        <v>74</v>
      </c>
      <c r="M14">
        <f>'Q4 Base'!C49</f>
        <v>1.8403900000000001E-2</v>
      </c>
      <c r="N14">
        <f t="shared" si="2"/>
        <v>0.98159609999999997</v>
      </c>
      <c r="O14">
        <f t="shared" si="8"/>
        <v>0.91975495824373732</v>
      </c>
      <c r="P14">
        <f t="shared" si="3"/>
        <v>0.71678926226938311</v>
      </c>
      <c r="Q14" s="22">
        <f t="shared" si="4"/>
        <v>414167.89122450555</v>
      </c>
      <c r="S14" s="27"/>
    </row>
    <row r="15" spans="1:19" x14ac:dyDescent="0.25">
      <c r="A15" s="8">
        <v>9</v>
      </c>
      <c r="B15" s="8">
        <v>40</v>
      </c>
      <c r="C15">
        <f>'Q4 Base'!B15</f>
        <v>1.5430000000000001E-3</v>
      </c>
      <c r="D15">
        <f t="shared" si="0"/>
        <v>0.99845700000000004</v>
      </c>
      <c r="E15">
        <f t="shared" si="5"/>
        <v>0.99170111960219509</v>
      </c>
      <c r="F15">
        <f t="shared" si="1"/>
        <v>0.60461179537261112</v>
      </c>
      <c r="G15" s="26">
        <f t="shared" si="6"/>
        <v>12177.930827045637</v>
      </c>
      <c r="H15">
        <f t="shared" si="7"/>
        <v>0.63407086057346518</v>
      </c>
      <c r="K15" s="8">
        <v>9</v>
      </c>
      <c r="L15" s="8">
        <v>75</v>
      </c>
      <c r="M15">
        <f>'Q4 Base'!C50</f>
        <v>2.1031000000000001E-2</v>
      </c>
      <c r="N15">
        <f t="shared" si="2"/>
        <v>0.97896899999999998</v>
      </c>
      <c r="O15">
        <f t="shared" si="8"/>
        <v>0.90282787996771541</v>
      </c>
      <c r="P15">
        <f t="shared" si="3"/>
        <v>0.68756763766847306</v>
      </c>
      <c r="Q15" s="22">
        <f t="shared" si="4"/>
        <v>388928.08278576785</v>
      </c>
      <c r="S15" s="27"/>
    </row>
    <row r="16" spans="1:19" x14ac:dyDescent="0.25">
      <c r="A16" s="8">
        <v>10</v>
      </c>
      <c r="B16" s="8">
        <v>41</v>
      </c>
      <c r="C16">
        <f>'Q4 Base'!B16</f>
        <v>1.7110000000000001E-3</v>
      </c>
      <c r="D16">
        <f t="shared" si="0"/>
        <v>0.99828899999999998</v>
      </c>
      <c r="E16">
        <f t="shared" si="5"/>
        <v>0.99017092477464896</v>
      </c>
      <c r="F16">
        <f t="shared" si="1"/>
        <v>0.57173692233816642</v>
      </c>
      <c r="G16" s="26">
        <f t="shared" si="6"/>
        <v>12749.894065138362</v>
      </c>
      <c r="H16">
        <f t="shared" si="7"/>
        <v>0.59866902055375915</v>
      </c>
      <c r="K16" s="8">
        <v>10</v>
      </c>
      <c r="L16" s="8">
        <v>76</v>
      </c>
      <c r="M16">
        <f>'Q4 Base'!C51</f>
        <v>2.4114799999999999E-2</v>
      </c>
      <c r="N16">
        <f t="shared" si="2"/>
        <v>0.97588520000000001</v>
      </c>
      <c r="O16">
        <f t="shared" si="8"/>
        <v>0.88384050682411441</v>
      </c>
      <c r="P16">
        <f t="shared" si="3"/>
        <v>0.65953730231987828</v>
      </c>
      <c r="Q16" s="22">
        <f t="shared" si="4"/>
        <v>364075.9327146337</v>
      </c>
      <c r="S16" s="27"/>
    </row>
    <row r="17" spans="1:19" x14ac:dyDescent="0.25">
      <c r="A17" s="8">
        <v>11</v>
      </c>
      <c r="B17" s="8">
        <v>42</v>
      </c>
      <c r="C17">
        <f>'Q4 Base'!B17</f>
        <v>1.9009999999999999E-3</v>
      </c>
      <c r="D17">
        <f t="shared" si="0"/>
        <v>0.99809899999999996</v>
      </c>
      <c r="E17">
        <f t="shared" si="5"/>
        <v>0.98847674232235949</v>
      </c>
      <c r="F17">
        <f t="shared" si="1"/>
        <v>0.54064957195098473</v>
      </c>
      <c r="G17" s="26">
        <f t="shared" si="6"/>
        <v>13372.561176060297</v>
      </c>
      <c r="H17">
        <f t="shared" si="7"/>
        <v>0.56514865045824259</v>
      </c>
      <c r="K17" s="8">
        <v>11</v>
      </c>
      <c r="L17" s="8">
        <v>77</v>
      </c>
      <c r="M17">
        <f>'Q4 Base'!C52</f>
        <v>2.77132E-2</v>
      </c>
      <c r="N17">
        <f t="shared" si="2"/>
        <v>0.97228680000000001</v>
      </c>
      <c r="O17">
        <f t="shared" si="8"/>
        <v>0.86252686977015225</v>
      </c>
      <c r="P17">
        <f t="shared" si="3"/>
        <v>0.63264969047470332</v>
      </c>
      <c r="Q17" s="22">
        <f t="shared" si="4"/>
        <v>339555.13052865851</v>
      </c>
      <c r="S17" s="27"/>
    </row>
    <row r="18" spans="1:19" x14ac:dyDescent="0.25">
      <c r="A18" s="8">
        <v>12</v>
      </c>
      <c r="B18" s="8">
        <v>43</v>
      </c>
      <c r="C18">
        <f>'Q4 Base'!B18</f>
        <v>2.117E-3</v>
      </c>
      <c r="D18">
        <f t="shared" si="0"/>
        <v>0.99788299999999996</v>
      </c>
      <c r="E18">
        <f t="shared" si="5"/>
        <v>0.98659764803520467</v>
      </c>
      <c r="F18">
        <f t="shared" si="1"/>
        <v>0.51125255030825978</v>
      </c>
      <c r="G18" s="26">
        <f t="shared" si="6"/>
        <v>14055.509043859793</v>
      </c>
      <c r="H18">
        <f t="shared" si="7"/>
        <v>0.53340359609808174</v>
      </c>
      <c r="K18" s="8">
        <v>12</v>
      </c>
      <c r="L18" s="8">
        <v>78</v>
      </c>
      <c r="M18">
        <f>'Q4 Base'!C53</f>
        <v>3.1889000000000001E-2</v>
      </c>
      <c r="N18">
        <f t="shared" si="2"/>
        <v>0.96811099999999994</v>
      </c>
      <c r="O18">
        <f t="shared" si="8"/>
        <v>0.8386234901228381</v>
      </c>
      <c r="P18">
        <f t="shared" si="3"/>
        <v>0.6068582162826891</v>
      </c>
      <c r="Q18" s="22">
        <f t="shared" si="4"/>
        <v>315325.71412108408</v>
      </c>
      <c r="S18" s="27"/>
    </row>
    <row r="19" spans="1:19" x14ac:dyDescent="0.25">
      <c r="A19" s="8">
        <v>13</v>
      </c>
      <c r="B19" s="8">
        <v>44</v>
      </c>
      <c r="C19">
        <f>'Q4 Base'!B19</f>
        <v>2.3630000000000001E-3</v>
      </c>
      <c r="D19">
        <f t="shared" si="0"/>
        <v>0.997637</v>
      </c>
      <c r="E19">
        <f t="shared" si="5"/>
        <v>0.98450902081431413</v>
      </c>
      <c r="F19">
        <f t="shared" si="1"/>
        <v>0.4834539482820423</v>
      </c>
      <c r="G19" s="26">
        <f t="shared" si="6"/>
        <v>14804.327723788869</v>
      </c>
      <c r="H19">
        <f t="shared" si="7"/>
        <v>0.50333274769280567</v>
      </c>
      <c r="K19" s="8">
        <v>13</v>
      </c>
      <c r="L19" s="8">
        <v>79</v>
      </c>
      <c r="M19">
        <f>'Q4 Base'!C54</f>
        <v>3.6703300000000001E-2</v>
      </c>
      <c r="N19">
        <f t="shared" si="2"/>
        <v>0.96329670000000001</v>
      </c>
      <c r="O19">
        <f t="shared" si="8"/>
        <v>0.81188062564631092</v>
      </c>
      <c r="P19">
        <f t="shared" si="3"/>
        <v>0.58211819307692003</v>
      </c>
      <c r="Q19" s="22">
        <f t="shared" si="4"/>
        <v>291369.03581581172</v>
      </c>
      <c r="S19" s="27"/>
    </row>
    <row r="20" spans="1:19" x14ac:dyDescent="0.25">
      <c r="A20" s="8">
        <v>14</v>
      </c>
      <c r="B20" s="8">
        <v>45</v>
      </c>
      <c r="C20">
        <f>'Q4 Base'!B20</f>
        <v>2.6419999999999998E-3</v>
      </c>
      <c r="D20">
        <f t="shared" si="0"/>
        <v>0.99735799999999997</v>
      </c>
      <c r="E20">
        <f t="shared" si="5"/>
        <v>0.98218262599812989</v>
      </c>
      <c r="F20">
        <f t="shared" si="1"/>
        <v>0.45716685416741581</v>
      </c>
      <c r="G20" s="26">
        <f t="shared" si="6"/>
        <v>15615.286393071872</v>
      </c>
      <c r="H20">
        <f t="shared" si="7"/>
        <v>0.4748400684728204</v>
      </c>
      <c r="K20" s="8">
        <v>14</v>
      </c>
      <c r="L20" s="8">
        <v>80</v>
      </c>
      <c r="M20">
        <f>'Q4 Base'!C55</f>
        <v>4.22231E-2</v>
      </c>
      <c r="N20">
        <f t="shared" si="2"/>
        <v>0.95777690000000004</v>
      </c>
      <c r="O20">
        <f t="shared" si="8"/>
        <v>0.78208192747902672</v>
      </c>
      <c r="P20">
        <f t="shared" si="3"/>
        <v>0.55838675594908405</v>
      </c>
      <c r="Q20" s="22">
        <f t="shared" si="4"/>
        <v>267689.71882940741</v>
      </c>
      <c r="S20" s="27"/>
    </row>
    <row r="21" spans="1:19" x14ac:dyDescent="0.25">
      <c r="A21" s="8">
        <v>15</v>
      </c>
      <c r="B21" s="8">
        <v>46</v>
      </c>
      <c r="C21">
        <f>'Q4 Base'!B21</f>
        <v>2.957E-3</v>
      </c>
      <c r="D21">
        <f t="shared" si="0"/>
        <v>0.99704300000000001</v>
      </c>
      <c r="E21">
        <f t="shared" si="5"/>
        <v>0.97958769950024283</v>
      </c>
      <c r="F21">
        <f t="shared" si="1"/>
        <v>0.43230908195500312</v>
      </c>
      <c r="G21" s="26">
        <f t="shared" si="6"/>
        <v>16483.11029311486</v>
      </c>
      <c r="H21">
        <f t="shared" si="7"/>
        <v>0.44783502696162186</v>
      </c>
      <c r="K21" s="8">
        <v>15</v>
      </c>
      <c r="L21" s="8">
        <v>81</v>
      </c>
      <c r="M21">
        <f>'Q4 Base'!C56</f>
        <v>4.8511600000000002E-2</v>
      </c>
      <c r="N21">
        <f t="shared" si="2"/>
        <v>0.95148840000000001</v>
      </c>
      <c r="O21">
        <f t="shared" si="8"/>
        <v>0.74906000404688711</v>
      </c>
      <c r="P21">
        <f t="shared" si="3"/>
        <v>0.53562278748113568</v>
      </c>
      <c r="Q21" s="22">
        <f t="shared" si="4"/>
        <v>244320.05972704332</v>
      </c>
      <c r="S21" s="27"/>
    </row>
  </sheetData>
  <mergeCells count="2">
    <mergeCell ref="A5:I5"/>
    <mergeCell ref="K5:R5"/>
  </mergeCells>
  <printOptions gridLines="1" gridLinesSet="0"/>
  <pageMargins left="0.7" right="0.7" top="0.75" bottom="0.75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60"/>
  <sheetViews>
    <sheetView workbookViewId="0">
      <selection activeCell="O6" sqref="O6"/>
    </sheetView>
  </sheetViews>
  <sheetFormatPr defaultRowHeight="15" x14ac:dyDescent="0.25"/>
  <cols>
    <col min="1" max="2" width="9.140625" style="8"/>
    <col min="6" max="6" width="14" customWidth="1"/>
    <col min="7" max="7" width="12" bestFit="1" customWidth="1"/>
    <col min="8" max="8" width="12" customWidth="1"/>
    <col min="15" max="15" width="12" bestFit="1" customWidth="1"/>
    <col min="16" max="16" width="11.28515625" bestFit="1" customWidth="1"/>
  </cols>
  <sheetData>
    <row r="2" spans="1:16" x14ac:dyDescent="0.25">
      <c r="E2" s="2">
        <v>5.7500000000000002E-2</v>
      </c>
      <c r="F2" s="22">
        <v>12800000</v>
      </c>
      <c r="G2" s="2"/>
      <c r="H2" s="2"/>
      <c r="N2" s="2">
        <v>4.2500000000000003E-2</v>
      </c>
      <c r="O2" s="22">
        <v>640000</v>
      </c>
    </row>
    <row r="3" spans="1:16" x14ac:dyDescent="0.25">
      <c r="F3" s="2"/>
      <c r="G3" s="2"/>
      <c r="H3" s="2"/>
    </row>
    <row r="4" spans="1:16" s="6" customFormat="1" x14ac:dyDescent="0.25">
      <c r="C4" s="6" t="s">
        <v>10</v>
      </c>
      <c r="D4" s="6" t="s">
        <v>10</v>
      </c>
      <c r="E4" s="6" t="s">
        <v>10</v>
      </c>
      <c r="F4" s="6" t="s">
        <v>11</v>
      </c>
      <c r="G4" s="6" t="s">
        <v>1</v>
      </c>
      <c r="H4" s="6" t="s">
        <v>1</v>
      </c>
      <c r="L4" s="6" t="s">
        <v>10</v>
      </c>
      <c r="O4" s="6" t="s">
        <v>138</v>
      </c>
      <c r="P4" s="6" t="s">
        <v>10</v>
      </c>
    </row>
    <row r="5" spans="1:16" s="1" customFormat="1" x14ac:dyDescent="0.25">
      <c r="A5" s="74" t="s">
        <v>139</v>
      </c>
      <c r="B5" s="74"/>
      <c r="C5" s="74"/>
      <c r="D5" s="74"/>
      <c r="E5" s="74"/>
      <c r="F5" s="74"/>
      <c r="G5" s="74"/>
      <c r="H5" s="74"/>
      <c r="J5" s="76" t="s">
        <v>140</v>
      </c>
      <c r="K5" s="76"/>
      <c r="L5" s="76"/>
      <c r="M5" s="76"/>
      <c r="N5" s="76"/>
      <c r="O5" s="76"/>
      <c r="P5" s="76"/>
    </row>
    <row r="6" spans="1:16" s="24" customFormat="1" ht="30" x14ac:dyDescent="0.25">
      <c r="A6" s="20" t="s">
        <v>141</v>
      </c>
      <c r="B6" s="25" t="s">
        <v>123</v>
      </c>
      <c r="C6" s="25" t="s">
        <v>124</v>
      </c>
      <c r="D6" s="25" t="s">
        <v>142</v>
      </c>
      <c r="E6" s="25" t="s">
        <v>143</v>
      </c>
      <c r="F6" s="20" t="s">
        <v>149</v>
      </c>
      <c r="G6" s="20" t="s">
        <v>150</v>
      </c>
      <c r="H6" s="20" t="s">
        <v>151</v>
      </c>
      <c r="J6" s="20" t="s">
        <v>141</v>
      </c>
      <c r="K6" s="25" t="s">
        <v>123</v>
      </c>
      <c r="L6" s="25" t="s">
        <v>124</v>
      </c>
      <c r="M6" s="25" t="s">
        <v>142</v>
      </c>
      <c r="N6" s="25" t="s">
        <v>143</v>
      </c>
      <c r="O6" s="25" t="s">
        <v>152</v>
      </c>
      <c r="P6" s="25" t="s">
        <v>151</v>
      </c>
    </row>
    <row r="7" spans="1:16" x14ac:dyDescent="0.25">
      <c r="A7" s="8">
        <v>1</v>
      </c>
      <c r="B7" s="8">
        <v>32</v>
      </c>
      <c r="C7">
        <f>'Q4 Base'!B7</f>
        <v>7.6900000000000004E-4</v>
      </c>
      <c r="D7">
        <f t="shared" ref="D7:D21" si="0">1-C7</f>
        <v>0.99923099999999998</v>
      </c>
      <c r="E7">
        <v>1</v>
      </c>
      <c r="F7">
        <f t="shared" ref="F7:F21" si="1">C7/((1+$E$2)^0.5)+D7*F8/(1+$E$2)</f>
        <v>1.4281144746744804E-2</v>
      </c>
      <c r="G7">
        <f t="shared" ref="G7:G21" si="2">1+G8*D7/(1+$E$2)</f>
        <v>10.370490988883486</v>
      </c>
      <c r="H7" s="26">
        <f>F2*F7/G7</f>
        <v>17626.807925900725</v>
      </c>
      <c r="J7" s="8">
        <v>1</v>
      </c>
      <c r="K7" s="8">
        <v>67</v>
      </c>
      <c r="L7">
        <f>'Q4 Base'!C42</f>
        <v>8.7103000000000007E-3</v>
      </c>
      <c r="M7">
        <f t="shared" ref="M7:M21" si="3">1-L7</f>
        <v>0.99128970000000005</v>
      </c>
      <c r="N7">
        <v>1</v>
      </c>
      <c r="O7">
        <f t="shared" ref="O7:O21" si="4">(1+O8)*M7/(1+$N$2)</f>
        <v>9.8134799153639243</v>
      </c>
      <c r="P7" s="22">
        <f>O2*O7</f>
        <v>6280627.1458329111</v>
      </c>
    </row>
    <row r="8" spans="1:16" x14ac:dyDescent="0.25">
      <c r="A8" s="8">
        <v>2</v>
      </c>
      <c r="B8" s="8">
        <v>33</v>
      </c>
      <c r="C8">
        <f>'Q4 Base'!B8</f>
        <v>8.2600000000000002E-4</v>
      </c>
      <c r="D8">
        <f t="shared" si="0"/>
        <v>0.99917400000000001</v>
      </c>
      <c r="E8">
        <f t="shared" ref="E8:E21" si="5">D7*E7</f>
        <v>0.99923099999999998</v>
      </c>
      <c r="F8">
        <f t="shared" si="1"/>
        <v>1.4322524833123044E-2</v>
      </c>
      <c r="G8">
        <f t="shared" si="2"/>
        <v>9.9169203324799629</v>
      </c>
      <c r="J8" s="8">
        <v>2</v>
      </c>
      <c r="K8" s="8">
        <v>68</v>
      </c>
      <c r="L8">
        <f>'Q4 Base'!C43</f>
        <v>9.4441999999999998E-3</v>
      </c>
      <c r="M8">
        <f t="shared" si="3"/>
        <v>0.99055579999999999</v>
      </c>
      <c r="N8">
        <f t="shared" ref="N8:N21" si="6">M7*N7</f>
        <v>0.99128970000000005</v>
      </c>
      <c r="O8">
        <f t="shared" si="4"/>
        <v>9.3204470012821581</v>
      </c>
    </row>
    <row r="9" spans="1:16" x14ac:dyDescent="0.25">
      <c r="A9" s="8">
        <v>3</v>
      </c>
      <c r="B9" s="8">
        <v>34</v>
      </c>
      <c r="C9">
        <f>'Q4 Base'!B9</f>
        <v>8.9300000000000002E-4</v>
      </c>
      <c r="D9">
        <f t="shared" si="0"/>
        <v>0.99910699999999997</v>
      </c>
      <c r="E9">
        <f t="shared" si="5"/>
        <v>0.99840563519399994</v>
      </c>
      <c r="F9">
        <f t="shared" si="1"/>
        <v>1.4308473204905183E-2</v>
      </c>
      <c r="G9">
        <f t="shared" si="2"/>
        <v>9.437438575861222</v>
      </c>
      <c r="J9" s="8">
        <v>3</v>
      </c>
      <c r="K9" s="8">
        <v>69</v>
      </c>
      <c r="L9">
        <f>'Q4 Base'!C44</f>
        <v>1.0337799999999999E-2</v>
      </c>
      <c r="M9">
        <f t="shared" si="3"/>
        <v>0.98966220000000005</v>
      </c>
      <c r="N9">
        <f t="shared" si="6"/>
        <v>0.98192776181526009</v>
      </c>
      <c r="O9">
        <f t="shared" si="4"/>
        <v>8.8092061031156952</v>
      </c>
    </row>
    <row r="10" spans="1:16" x14ac:dyDescent="0.25">
      <c r="A10" s="8">
        <v>4</v>
      </c>
      <c r="B10" s="8">
        <v>35</v>
      </c>
      <c r="C10">
        <f>'Q4 Base'!B10</f>
        <v>9.6900000000000003E-4</v>
      </c>
      <c r="D10">
        <f t="shared" si="0"/>
        <v>0.999031</v>
      </c>
      <c r="E10">
        <f t="shared" si="5"/>
        <v>0.9975140589617717</v>
      </c>
      <c r="F10">
        <f t="shared" si="1"/>
        <v>1.4225598940317217E-2</v>
      </c>
      <c r="G10">
        <f t="shared" si="2"/>
        <v>8.9305662896699189</v>
      </c>
      <c r="J10" s="8">
        <v>4</v>
      </c>
      <c r="K10" s="8">
        <v>70</v>
      </c>
      <c r="L10">
        <f>'Q4 Base'!C45</f>
        <v>1.14235E-2</v>
      </c>
      <c r="M10">
        <f t="shared" si="3"/>
        <v>0.98857649999999997</v>
      </c>
      <c r="N10">
        <f t="shared" si="6"/>
        <v>0.97177678899916631</v>
      </c>
      <c r="O10">
        <f t="shared" si="4"/>
        <v>8.2795272594003411</v>
      </c>
    </row>
    <row r="11" spans="1:16" x14ac:dyDescent="0.25">
      <c r="A11" s="8">
        <v>5</v>
      </c>
      <c r="B11" s="8">
        <v>36</v>
      </c>
      <c r="C11">
        <f>'Q4 Base'!B11</f>
        <v>1.0549999999999999E-3</v>
      </c>
      <c r="D11">
        <f t="shared" si="0"/>
        <v>0.99894499999999997</v>
      </c>
      <c r="E11">
        <f t="shared" si="5"/>
        <v>0.99654746783863779</v>
      </c>
      <c r="F11">
        <f t="shared" si="1"/>
        <v>1.4060726327028056E-2</v>
      </c>
      <c r="G11">
        <f t="shared" si="2"/>
        <v>8.3947083236915976</v>
      </c>
      <c r="J11" s="8">
        <v>5</v>
      </c>
      <c r="K11" s="8">
        <v>71</v>
      </c>
      <c r="L11">
        <f>'Q4 Base'!C46</f>
        <v>1.27318E-2</v>
      </c>
      <c r="M11">
        <f t="shared" si="3"/>
        <v>0.98726820000000004</v>
      </c>
      <c r="N11">
        <f t="shared" si="6"/>
        <v>0.96067569685003429</v>
      </c>
      <c r="O11">
        <f t="shared" si="4"/>
        <v>7.7311474305982957</v>
      </c>
    </row>
    <row r="12" spans="1:16" x14ac:dyDescent="0.25">
      <c r="A12" s="8">
        <v>6</v>
      </c>
      <c r="B12" s="8">
        <v>37</v>
      </c>
      <c r="C12">
        <f>'Q4 Base'!B12</f>
        <v>1.1540000000000001E-3</v>
      </c>
      <c r="D12">
        <f t="shared" si="0"/>
        <v>0.99884600000000001</v>
      </c>
      <c r="E12">
        <f t="shared" si="5"/>
        <v>0.99549611026006801</v>
      </c>
      <c r="F12">
        <f t="shared" si="1"/>
        <v>1.3798868556645968E-2</v>
      </c>
      <c r="G12">
        <f t="shared" si="2"/>
        <v>7.8281627640199067</v>
      </c>
      <c r="J12" s="8">
        <v>6</v>
      </c>
      <c r="K12" s="8">
        <v>72</v>
      </c>
      <c r="L12">
        <f>'Q4 Base'!C47</f>
        <v>1.43026E-2</v>
      </c>
      <c r="M12">
        <f t="shared" si="3"/>
        <v>0.98569739999999995</v>
      </c>
      <c r="N12">
        <f t="shared" si="6"/>
        <v>0.94844456601287908</v>
      </c>
      <c r="O12">
        <f t="shared" si="4"/>
        <v>7.1636592735375473</v>
      </c>
    </row>
    <row r="13" spans="1:16" x14ac:dyDescent="0.25">
      <c r="A13" s="8">
        <v>7</v>
      </c>
      <c r="B13" s="8">
        <v>38</v>
      </c>
      <c r="C13">
        <f>'Q4 Base'!B13</f>
        <v>1.2669999999999999E-3</v>
      </c>
      <c r="D13">
        <f t="shared" si="0"/>
        <v>0.99873299999999998</v>
      </c>
      <c r="E13">
        <f t="shared" si="5"/>
        <v>0.99434730774882796</v>
      </c>
      <c r="F13">
        <f t="shared" si="1"/>
        <v>1.3421077610886656E-2</v>
      </c>
      <c r="G13">
        <f t="shared" si="2"/>
        <v>7.2291245326617437</v>
      </c>
      <c r="J13" s="8">
        <v>7</v>
      </c>
      <c r="K13" s="8">
        <v>73</v>
      </c>
      <c r="L13">
        <f>'Q4 Base'!C48</f>
        <v>1.6177899999999999E-2</v>
      </c>
      <c r="M13">
        <f t="shared" si="3"/>
        <v>0.98382210000000003</v>
      </c>
      <c r="N13">
        <f t="shared" si="6"/>
        <v>0.9348793427630232</v>
      </c>
      <c r="O13">
        <f t="shared" si="4"/>
        <v>6.5764781287471115</v>
      </c>
    </row>
    <row r="14" spans="1:16" x14ac:dyDescent="0.25">
      <c r="A14" s="8">
        <v>8</v>
      </c>
      <c r="B14" s="8">
        <v>39</v>
      </c>
      <c r="C14">
        <f>'Q4 Base'!B14</f>
        <v>1.3960000000000001E-3</v>
      </c>
      <c r="D14">
        <f t="shared" si="0"/>
        <v>0.99860400000000005</v>
      </c>
      <c r="E14">
        <f t="shared" si="5"/>
        <v>0.99308746970991013</v>
      </c>
      <c r="F14">
        <f t="shared" si="1"/>
        <v>1.2906224603278775E-2</v>
      </c>
      <c r="G14">
        <f t="shared" si="2"/>
        <v>6.5956558893015398</v>
      </c>
      <c r="J14" s="8">
        <v>8</v>
      </c>
      <c r="K14" s="8">
        <v>74</v>
      </c>
      <c r="L14">
        <f>'Q4 Base'!C49</f>
        <v>1.8403900000000001E-2</v>
      </c>
      <c r="M14">
        <f t="shared" si="3"/>
        <v>0.98159609999999997</v>
      </c>
      <c r="N14">
        <f t="shared" si="6"/>
        <v>0.91975495824373732</v>
      </c>
      <c r="O14">
        <f t="shared" si="4"/>
        <v>5.9687176667599386</v>
      </c>
    </row>
    <row r="15" spans="1:16" x14ac:dyDescent="0.25">
      <c r="A15" s="8">
        <v>9</v>
      </c>
      <c r="B15" s="8">
        <v>40</v>
      </c>
      <c r="C15">
        <f>'Q4 Base'!B15</f>
        <v>1.5430000000000001E-3</v>
      </c>
      <c r="D15">
        <f t="shared" si="0"/>
        <v>0.99845700000000004</v>
      </c>
      <c r="E15">
        <f t="shared" si="5"/>
        <v>0.99170111960219509</v>
      </c>
      <c r="F15">
        <f t="shared" si="1"/>
        <v>1.2229831289122941E-2</v>
      </c>
      <c r="G15">
        <f t="shared" si="2"/>
        <v>5.9256783499128574</v>
      </c>
      <c r="J15" s="8">
        <v>9</v>
      </c>
      <c r="K15" s="8">
        <v>75</v>
      </c>
      <c r="L15">
        <f>'Q4 Base'!C50</f>
        <v>2.1031000000000001E-2</v>
      </c>
      <c r="M15">
        <f t="shared" si="3"/>
        <v>0.97896899999999998</v>
      </c>
      <c r="N15">
        <f t="shared" si="6"/>
        <v>0.90282787996771541</v>
      </c>
      <c r="O15">
        <f t="shared" si="4"/>
        <v>5.3390514363262405</v>
      </c>
    </row>
    <row r="16" spans="1:16" x14ac:dyDescent="0.25">
      <c r="A16" s="8">
        <v>10</v>
      </c>
      <c r="B16" s="8">
        <v>41</v>
      </c>
      <c r="C16">
        <f>'Q4 Base'!B16</f>
        <v>1.7110000000000001E-3</v>
      </c>
      <c r="D16">
        <f t="shared" si="0"/>
        <v>0.99828899999999998</v>
      </c>
      <c r="E16">
        <f t="shared" si="5"/>
        <v>0.99017092477464896</v>
      </c>
      <c r="F16">
        <f t="shared" si="1"/>
        <v>1.136383973569687E-2</v>
      </c>
      <c r="G16">
        <f t="shared" si="2"/>
        <v>5.216954616005343</v>
      </c>
      <c r="J16" s="8">
        <v>10</v>
      </c>
      <c r="K16" s="8">
        <v>76</v>
      </c>
      <c r="L16">
        <f>'Q4 Base'!C51</f>
        <v>2.4114799999999999E-2</v>
      </c>
      <c r="M16">
        <f t="shared" si="3"/>
        <v>0.97588520000000001</v>
      </c>
      <c r="N16">
        <f t="shared" si="6"/>
        <v>0.88384050682411441</v>
      </c>
      <c r="O16">
        <f t="shared" si="4"/>
        <v>4.68553357907156</v>
      </c>
    </row>
    <row r="17" spans="1:15" x14ac:dyDescent="0.25">
      <c r="A17" s="8">
        <v>11</v>
      </c>
      <c r="B17" s="8">
        <v>42</v>
      </c>
      <c r="C17">
        <f>'Q4 Base'!B17</f>
        <v>1.9009999999999999E-3</v>
      </c>
      <c r="D17">
        <f t="shared" si="0"/>
        <v>0.99809899999999996</v>
      </c>
      <c r="E17">
        <f t="shared" si="5"/>
        <v>0.98847674232235949</v>
      </c>
      <c r="F17">
        <f t="shared" si="1"/>
        <v>1.0275337870402773E-2</v>
      </c>
      <c r="G17">
        <f t="shared" si="2"/>
        <v>4.4670726677601884</v>
      </c>
      <c r="J17" s="8">
        <v>11</v>
      </c>
      <c r="K17" s="8">
        <v>77</v>
      </c>
      <c r="L17">
        <f>'Q4 Base'!C52</f>
        <v>2.77132E-2</v>
      </c>
      <c r="M17">
        <f t="shared" si="3"/>
        <v>0.97228680000000001</v>
      </c>
      <c r="N17">
        <f t="shared" si="6"/>
        <v>0.86252686977015225</v>
      </c>
      <c r="O17">
        <f t="shared" si="4"/>
        <v>4.005372308322845</v>
      </c>
    </row>
    <row r="18" spans="1:15" x14ac:dyDescent="0.25">
      <c r="A18" s="8">
        <v>12</v>
      </c>
      <c r="B18" s="8">
        <v>43</v>
      </c>
      <c r="C18">
        <f>'Q4 Base'!B18</f>
        <v>2.117E-3</v>
      </c>
      <c r="D18">
        <f t="shared" si="0"/>
        <v>0.99788299999999996</v>
      </c>
      <c r="E18">
        <f t="shared" si="5"/>
        <v>0.98659764803520467</v>
      </c>
      <c r="F18">
        <f t="shared" si="1"/>
        <v>8.9282524966426934E-3</v>
      </c>
      <c r="G18">
        <f t="shared" si="2"/>
        <v>3.6734125033252214</v>
      </c>
      <c r="J18" s="8">
        <v>12</v>
      </c>
      <c r="K18" s="8">
        <v>78</v>
      </c>
      <c r="L18">
        <f>'Q4 Base'!C53</f>
        <v>3.1889000000000001E-2</v>
      </c>
      <c r="M18">
        <f t="shared" si="3"/>
        <v>0.96811099999999994</v>
      </c>
      <c r="N18">
        <f t="shared" si="6"/>
        <v>0.8386234901228381</v>
      </c>
      <c r="O18">
        <f t="shared" si="4"/>
        <v>3.2946182457959572</v>
      </c>
    </row>
    <row r="19" spans="1:15" x14ac:dyDescent="0.25">
      <c r="A19" s="8">
        <v>13</v>
      </c>
      <c r="B19" s="8">
        <v>44</v>
      </c>
      <c r="C19">
        <f>'Q4 Base'!B19</f>
        <v>2.3630000000000001E-3</v>
      </c>
      <c r="D19">
        <f t="shared" si="0"/>
        <v>0.997637</v>
      </c>
      <c r="E19">
        <f t="shared" si="5"/>
        <v>0.98450902081431413</v>
      </c>
      <c r="F19">
        <f t="shared" si="1"/>
        <v>7.2800257112730629E-3</v>
      </c>
      <c r="G19">
        <f t="shared" si="2"/>
        <v>2.8331314615705669</v>
      </c>
      <c r="J19" s="8">
        <v>13</v>
      </c>
      <c r="K19" s="8">
        <v>79</v>
      </c>
      <c r="L19">
        <f>'Q4 Base'!C54</f>
        <v>3.6703300000000001E-2</v>
      </c>
      <c r="M19">
        <f t="shared" si="3"/>
        <v>0.96329670000000001</v>
      </c>
      <c r="N19">
        <f t="shared" si="6"/>
        <v>0.81188062564631092</v>
      </c>
      <c r="O19">
        <f t="shared" si="4"/>
        <v>2.5477745023476497</v>
      </c>
    </row>
    <row r="20" spans="1:15" x14ac:dyDescent="0.25">
      <c r="A20" s="8">
        <v>14</v>
      </c>
      <c r="B20" s="8">
        <v>45</v>
      </c>
      <c r="C20">
        <f>'Q4 Base'!B20</f>
        <v>2.6419999999999998E-3</v>
      </c>
      <c r="D20">
        <f t="shared" si="0"/>
        <v>0.99735799999999997</v>
      </c>
      <c r="E20">
        <f t="shared" si="5"/>
        <v>0.98218262599812989</v>
      </c>
      <c r="F20">
        <f t="shared" si="1"/>
        <v>5.2811197024159231E-3</v>
      </c>
      <c r="G20">
        <f t="shared" si="2"/>
        <v>1.9431281323877068</v>
      </c>
      <c r="J20" s="8">
        <v>14</v>
      </c>
      <c r="K20" s="8">
        <v>80</v>
      </c>
      <c r="L20">
        <f>'Q4 Base'!C55</f>
        <v>4.22231E-2</v>
      </c>
      <c r="M20">
        <f t="shared" si="3"/>
        <v>0.95777690000000004</v>
      </c>
      <c r="N20">
        <f t="shared" si="6"/>
        <v>0.78208192747902672</v>
      </c>
      <c r="O20">
        <f t="shared" si="4"/>
        <v>1.7572552866603042</v>
      </c>
    </row>
    <row r="21" spans="1:15" x14ac:dyDescent="0.25">
      <c r="A21" s="8">
        <v>15</v>
      </c>
      <c r="B21" s="8">
        <v>46</v>
      </c>
      <c r="C21">
        <f>'Q4 Base'!B21</f>
        <v>2.957E-3</v>
      </c>
      <c r="D21">
        <f t="shared" si="0"/>
        <v>0.99704300000000001</v>
      </c>
      <c r="E21">
        <f t="shared" si="5"/>
        <v>0.97958769950024283</v>
      </c>
      <c r="F21">
        <f t="shared" si="1"/>
        <v>2.8754851990618275E-3</v>
      </c>
      <c r="G21">
        <f t="shared" si="2"/>
        <v>1</v>
      </c>
      <c r="J21" s="8">
        <v>15</v>
      </c>
      <c r="K21" s="8">
        <v>81</v>
      </c>
      <c r="L21">
        <f>'Q4 Base'!C56</f>
        <v>4.8511600000000002E-2</v>
      </c>
      <c r="M21">
        <f t="shared" si="3"/>
        <v>0.95148840000000001</v>
      </c>
      <c r="N21">
        <f t="shared" si="6"/>
        <v>0.74906000404688711</v>
      </c>
      <c r="O21">
        <f t="shared" si="4"/>
        <v>0.91269870503597128</v>
      </c>
    </row>
    <row r="22" spans="1:15" x14ac:dyDescent="0.25">
      <c r="J22" s="8"/>
      <c r="K22" s="8"/>
    </row>
    <row r="23" spans="1:15" x14ac:dyDescent="0.25">
      <c r="J23" s="8"/>
      <c r="K23" s="8"/>
    </row>
    <row r="24" spans="1:15" x14ac:dyDescent="0.25">
      <c r="J24" s="8"/>
      <c r="K24" s="8"/>
    </row>
    <row r="25" spans="1:15" x14ac:dyDescent="0.25">
      <c r="J25" s="8"/>
      <c r="K25" s="8"/>
    </row>
    <row r="26" spans="1:15" x14ac:dyDescent="0.25">
      <c r="J26" s="8"/>
      <c r="K26" s="8"/>
    </row>
    <row r="27" spans="1:15" x14ac:dyDescent="0.25">
      <c r="J27" s="8"/>
      <c r="K27" s="8"/>
    </row>
    <row r="28" spans="1:15" x14ac:dyDescent="0.25">
      <c r="J28" s="8"/>
      <c r="K28" s="8"/>
    </row>
    <row r="29" spans="1:15" x14ac:dyDescent="0.25">
      <c r="J29" s="8"/>
      <c r="K29" s="8"/>
    </row>
    <row r="30" spans="1:15" x14ac:dyDescent="0.25">
      <c r="J30" s="8"/>
      <c r="K30" s="8"/>
    </row>
    <row r="31" spans="1:15" x14ac:dyDescent="0.25">
      <c r="J31" s="8"/>
      <c r="K31" s="8"/>
    </row>
    <row r="32" spans="1:15" x14ac:dyDescent="0.25">
      <c r="J32" s="8"/>
      <c r="K32" s="8"/>
    </row>
    <row r="33" spans="10:11" x14ac:dyDescent="0.25">
      <c r="J33" s="8"/>
      <c r="K33" s="8"/>
    </row>
    <row r="34" spans="10:11" x14ac:dyDescent="0.25">
      <c r="J34" s="8"/>
      <c r="K34" s="8"/>
    </row>
    <row r="35" spans="10:11" x14ac:dyDescent="0.25">
      <c r="J35" s="8"/>
      <c r="K35" s="8"/>
    </row>
    <row r="36" spans="10:11" x14ac:dyDescent="0.25">
      <c r="J36" s="8"/>
      <c r="K36" s="8"/>
    </row>
    <row r="37" spans="10:11" x14ac:dyDescent="0.25">
      <c r="J37" s="8"/>
      <c r="K37" s="8"/>
    </row>
    <row r="38" spans="10:11" x14ac:dyDescent="0.25">
      <c r="J38" s="8"/>
      <c r="K38" s="8"/>
    </row>
    <row r="39" spans="10:11" x14ac:dyDescent="0.25">
      <c r="J39" s="8"/>
      <c r="K39" s="8"/>
    </row>
    <row r="40" spans="10:11" x14ac:dyDescent="0.25">
      <c r="J40" s="8"/>
      <c r="K40" s="8"/>
    </row>
    <row r="41" spans="10:11" x14ac:dyDescent="0.25">
      <c r="J41" s="8"/>
      <c r="K41" s="8"/>
    </row>
    <row r="42" spans="10:11" x14ac:dyDescent="0.25">
      <c r="J42" s="8"/>
      <c r="K42" s="8"/>
    </row>
    <row r="43" spans="10:11" x14ac:dyDescent="0.25">
      <c r="J43" s="8"/>
      <c r="K43" s="8"/>
    </row>
    <row r="44" spans="10:11" x14ac:dyDescent="0.25">
      <c r="J44" s="8"/>
      <c r="K44" s="8"/>
    </row>
    <row r="45" spans="10:11" x14ac:dyDescent="0.25">
      <c r="J45" s="8"/>
      <c r="K45" s="8"/>
    </row>
    <row r="46" spans="10:11" x14ac:dyDescent="0.25">
      <c r="J46" s="8"/>
      <c r="K46" s="8"/>
    </row>
    <row r="47" spans="10:11" x14ac:dyDescent="0.25">
      <c r="J47" s="8"/>
      <c r="K47" s="8"/>
    </row>
    <row r="48" spans="10:11" x14ac:dyDescent="0.25">
      <c r="J48" s="8"/>
      <c r="K48" s="8"/>
    </row>
    <row r="49" spans="10:11" x14ac:dyDescent="0.25">
      <c r="J49" s="8"/>
      <c r="K49" s="8"/>
    </row>
    <row r="50" spans="10:11" x14ac:dyDescent="0.25">
      <c r="J50" s="8"/>
      <c r="K50" s="8"/>
    </row>
    <row r="51" spans="10:11" x14ac:dyDescent="0.25">
      <c r="J51" s="8"/>
      <c r="K51" s="8"/>
    </row>
    <row r="52" spans="10:11" x14ac:dyDescent="0.25">
      <c r="J52" s="8"/>
      <c r="K52" s="8"/>
    </row>
    <row r="53" spans="10:11" x14ac:dyDescent="0.25">
      <c r="J53" s="8"/>
      <c r="K53" s="8"/>
    </row>
    <row r="54" spans="10:11" x14ac:dyDescent="0.25">
      <c r="J54" s="8"/>
      <c r="K54" s="8"/>
    </row>
    <row r="55" spans="10:11" x14ac:dyDescent="0.25">
      <c r="J55" s="8"/>
      <c r="K55" s="8"/>
    </row>
    <row r="56" spans="10:11" x14ac:dyDescent="0.25">
      <c r="J56" s="8"/>
      <c r="K56" s="8"/>
    </row>
    <row r="57" spans="10:11" x14ac:dyDescent="0.25">
      <c r="J57" s="8"/>
      <c r="K57" s="8"/>
    </row>
    <row r="58" spans="10:11" x14ac:dyDescent="0.25">
      <c r="J58" s="8"/>
      <c r="K58" s="8"/>
    </row>
    <row r="59" spans="10:11" x14ac:dyDescent="0.25">
      <c r="J59" s="8"/>
      <c r="K59" s="8"/>
    </row>
    <row r="60" spans="10:11" x14ac:dyDescent="0.25">
      <c r="J60" s="8"/>
      <c r="K60" s="8"/>
    </row>
  </sheetData>
  <mergeCells count="2">
    <mergeCell ref="A5:H5"/>
    <mergeCell ref="J5:P5"/>
  </mergeCells>
  <printOptions gridLines="1" gridLinesSet="0"/>
  <pageMargins left="0.7" right="0.7" top="0.75" bottom="0.75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1"/>
  <sheetViews>
    <sheetView workbookViewId="0">
      <selection activeCell="F8" sqref="F8"/>
    </sheetView>
  </sheetViews>
  <sheetFormatPr defaultRowHeight="15" x14ac:dyDescent="0.25"/>
  <cols>
    <col min="1" max="2" width="10.7109375" bestFit="1" customWidth="1"/>
    <col min="3" max="3" width="11.5703125" bestFit="1" customWidth="1"/>
    <col min="4" max="4" width="9" bestFit="1" customWidth="1"/>
    <col min="6" max="6" width="14.28515625" bestFit="1" customWidth="1"/>
    <col min="7" max="7" width="12.140625" bestFit="1" customWidth="1"/>
    <col min="8" max="8" width="17.85546875" customWidth="1"/>
    <col min="10" max="10" width="18.7109375" bestFit="1" customWidth="1"/>
    <col min="11" max="11" width="9.140625" customWidth="1"/>
  </cols>
  <sheetData>
    <row r="1" spans="1:11" x14ac:dyDescent="0.25">
      <c r="A1" s="8"/>
      <c r="B1" s="8"/>
      <c r="C1" s="6" t="s">
        <v>1</v>
      </c>
      <c r="D1" s="6" t="s">
        <v>1</v>
      </c>
      <c r="E1" s="8"/>
      <c r="F1" s="77" t="s">
        <v>11</v>
      </c>
      <c r="G1" s="77"/>
      <c r="H1" s="77"/>
      <c r="J1" s="6" t="s">
        <v>138</v>
      </c>
    </row>
    <row r="2" spans="1:11" x14ac:dyDescent="0.25">
      <c r="A2" s="8"/>
      <c r="B2" s="8"/>
      <c r="E2" s="8"/>
      <c r="F2" s="28" t="s">
        <v>151</v>
      </c>
      <c r="G2" s="29">
        <f>'Q4 (i) Alternative'!H7/C6</f>
        <v>1.3770943692109942E-3</v>
      </c>
      <c r="H2" t="s">
        <v>153</v>
      </c>
    </row>
    <row r="3" spans="1:11" x14ac:dyDescent="0.25">
      <c r="A3" s="8"/>
      <c r="B3" s="8"/>
      <c r="C3" s="30"/>
      <c r="D3" s="30"/>
      <c r="E3" s="8"/>
    </row>
    <row r="4" spans="1:11" ht="45.75" customHeight="1" x14ac:dyDescent="0.25">
      <c r="A4" s="8"/>
      <c r="B4" s="8"/>
      <c r="C4" s="75" t="s">
        <v>154</v>
      </c>
      <c r="D4" s="75"/>
      <c r="E4" s="8"/>
      <c r="F4" s="74" t="s">
        <v>155</v>
      </c>
      <c r="G4" s="74"/>
      <c r="H4" s="74"/>
      <c r="I4" s="1"/>
      <c r="J4" s="7" t="s">
        <v>156</v>
      </c>
    </row>
    <row r="5" spans="1:11" ht="30" x14ac:dyDescent="0.25">
      <c r="A5" s="9" t="s">
        <v>22</v>
      </c>
      <c r="B5" s="7" t="s">
        <v>157</v>
      </c>
      <c r="C5" s="50" t="s">
        <v>155</v>
      </c>
      <c r="D5" s="58" t="s">
        <v>122</v>
      </c>
      <c r="E5" s="9"/>
      <c r="F5" s="49" t="s">
        <v>158</v>
      </c>
      <c r="G5" s="49" t="s">
        <v>159</v>
      </c>
      <c r="H5" s="49" t="s">
        <v>160</v>
      </c>
      <c r="J5" s="58" t="s">
        <v>160</v>
      </c>
    </row>
    <row r="6" spans="1:11" x14ac:dyDescent="0.25">
      <c r="A6" s="31">
        <v>39448</v>
      </c>
      <c r="B6" s="7"/>
      <c r="C6" s="32">
        <v>12800000</v>
      </c>
      <c r="D6" s="32">
        <v>640000</v>
      </c>
      <c r="E6" s="9"/>
      <c r="F6" s="9"/>
      <c r="G6" s="9"/>
      <c r="H6" s="9"/>
      <c r="J6" s="9"/>
    </row>
    <row r="7" spans="1:11" x14ac:dyDescent="0.25">
      <c r="A7" s="31">
        <v>39813</v>
      </c>
      <c r="B7" s="8">
        <v>1</v>
      </c>
      <c r="C7" s="19">
        <f>C$6-SUM('Q4 Base'!$M$5:M5)</f>
        <v>12690000</v>
      </c>
      <c r="D7" s="19">
        <f>D$6-SUM('Q4 Base'!$N$5:N5)</f>
        <v>629500</v>
      </c>
      <c r="E7" s="8"/>
      <c r="F7" s="18">
        <f>C7/$C$6*SUM('Q4 (i)'!G8:$G$21)/'Q4 (i)'!E8/'Q4 (i)'!F7</f>
        <v>181752.84013233142</v>
      </c>
      <c r="G7" s="18">
        <f>$G$2*C7*SUM('Q4 (i)'!H8:$H$21)/'Q4 (i)'!E8/'Q4 (i)'!F7</f>
        <v>173301.4310506089</v>
      </c>
      <c r="H7" s="18">
        <f t="shared" ref="H7:H21" si="0">F7-G7</f>
        <v>8451.4090817225224</v>
      </c>
      <c r="J7" s="18">
        <f>D7/$D$6*SUM('Q4 (i)'!Q8:$Q$21)/'Q4 (i)'!O8/'Q4 (i)'!P7</f>
        <v>5867221.3873071196</v>
      </c>
      <c r="K7" s="62"/>
    </row>
    <row r="8" spans="1:11" x14ac:dyDescent="0.25">
      <c r="A8" s="31">
        <v>40178</v>
      </c>
      <c r="B8" s="8">
        <v>2</v>
      </c>
      <c r="C8" s="19">
        <f>C$6-SUM('Q4 Base'!$M$5:M6)</f>
        <v>12690000</v>
      </c>
      <c r="D8" s="19">
        <f>D$6-SUM('Q4 Base'!$N$5:N6)</f>
        <v>606500</v>
      </c>
      <c r="E8" s="8"/>
      <c r="F8" s="18">
        <f>C8/$C$6*SUM('Q4 (i)'!G9:$G$21)/'Q4 (i)'!E9/'Q4 (i)'!F8</f>
        <v>181574.52497024674</v>
      </c>
      <c r="G8" s="18">
        <f>$G$2*C8*SUM('Q4 (i)'!H9:$H$21)/'Q4 (i)'!E9/'Q4 (i)'!F8</f>
        <v>164922.33030170659</v>
      </c>
      <c r="H8" s="18">
        <f t="shared" si="0"/>
        <v>16652.194668540149</v>
      </c>
      <c r="J8" s="18">
        <f>D8/$D$6*SUM('Q4 (i)'!Q9:$Q$21)/'Q4 (i)'!O9/'Q4 (i)'!P8</f>
        <v>5342783.501539669</v>
      </c>
      <c r="K8" s="62"/>
    </row>
    <row r="9" spans="1:11" x14ac:dyDescent="0.25">
      <c r="A9" s="31">
        <v>40543</v>
      </c>
      <c r="B9" s="8">
        <v>3</v>
      </c>
      <c r="C9" s="19">
        <f>C$6-SUM('Q4 Base'!$M$5:M7)</f>
        <v>12690000</v>
      </c>
      <c r="D9" s="19">
        <f>D$6-SUM('Q4 Base'!$N$5:N7)</f>
        <v>594000</v>
      </c>
      <c r="E9" s="8"/>
      <c r="F9" s="18">
        <f>C9/$C$6*SUM('Q4 (i)'!G10:$G$21)/'Q4 (i)'!E10/'Q4 (i)'!F9</f>
        <v>180522.85055262549</v>
      </c>
      <c r="G9" s="18">
        <f>$G$2*C9*SUM('Q4 (i)'!H10:$H$21)/'Q4 (i)'!E10/'Q4 (i)'!F9</f>
        <v>156064.57107688489</v>
      </c>
      <c r="H9" s="18">
        <f t="shared" si="0"/>
        <v>24458.279475740594</v>
      </c>
      <c r="J9" s="18">
        <f>D9/$D$6*SUM('Q4 (i)'!Q10:$Q$21)/'Q4 (i)'!O10/'Q4 (i)'!P9</f>
        <v>4918039.1920838021</v>
      </c>
      <c r="K9" s="62"/>
    </row>
    <row r="10" spans="1:11" x14ac:dyDescent="0.25">
      <c r="A10" s="31">
        <v>40908</v>
      </c>
      <c r="B10" s="8">
        <v>4</v>
      </c>
      <c r="C10" s="19">
        <f>C$6-SUM('Q4 Base'!$M$5:M8)</f>
        <v>12490000</v>
      </c>
      <c r="D10" s="19">
        <f>D$6-SUM('Q4 Base'!$N$5:N8)</f>
        <v>594000</v>
      </c>
      <c r="E10" s="8"/>
      <c r="F10" s="18">
        <f>C10/$C$6*SUM('Q4 (i)'!G11:$G$21)/'Q4 (i)'!E11/'Q4 (i)'!F10</f>
        <v>175618.47182458043</v>
      </c>
      <c r="G10" s="18">
        <f>$G$2*C10*SUM('Q4 (i)'!H11:$H$21)/'Q4 (i)'!E11/'Q4 (i)'!F10</f>
        <v>144388.21649091729</v>
      </c>
      <c r="H10" s="18">
        <f t="shared" si="0"/>
        <v>31230.255333663139</v>
      </c>
      <c r="J10" s="18">
        <f>D10/$D$6*SUM('Q4 (i)'!Q11:$Q$21)/'Q4 (i)'!O11/'Q4 (i)'!P10</f>
        <v>4592301.5737753874</v>
      </c>
      <c r="K10" s="62"/>
    </row>
    <row r="11" spans="1:11" x14ac:dyDescent="0.25">
      <c r="A11" s="31">
        <v>41274</v>
      </c>
      <c r="B11" s="8">
        <v>5</v>
      </c>
      <c r="C11" s="19">
        <f>C$6-SUM('Q4 Base'!$M$5:M9)</f>
        <v>12490000</v>
      </c>
      <c r="D11" s="19">
        <f>D$6-SUM('Q4 Base'!$N$5:N9)</f>
        <v>564500</v>
      </c>
      <c r="E11" s="8"/>
      <c r="F11" s="18">
        <f>C11/$C$6*SUM('Q4 (i)'!G12:$G$21)/'Q4 (i)'!E12/'Q4 (i)'!F11</f>
        <v>172347.86827250817</v>
      </c>
      <c r="G11" s="18">
        <f>$G$2*C11*SUM('Q4 (i)'!H12:$H$21)/'Q4 (i)'!E12/'Q4 (i)'!F11</f>
        <v>134643.68460635134</v>
      </c>
      <c r="H11" s="18">
        <f t="shared" si="0"/>
        <v>37704.183666156838</v>
      </c>
      <c r="J11" s="18">
        <f>D11/$D$6*SUM('Q4 (i)'!Q12:$Q$21)/'Q4 (i)'!O12/'Q4 (i)'!P11</f>
        <v>4043885.6599119459</v>
      </c>
      <c r="K11" s="62"/>
    </row>
    <row r="12" spans="1:11" x14ac:dyDescent="0.25">
      <c r="A12" s="31">
        <v>41639</v>
      </c>
      <c r="B12" s="8">
        <v>6</v>
      </c>
      <c r="C12" s="19">
        <f>C$6-SUM('Q4 Base'!$M$5:M10)</f>
        <v>12395000</v>
      </c>
      <c r="D12" s="19">
        <f>D$6-SUM('Q4 Base'!$N$5:N10)</f>
        <v>564500</v>
      </c>
      <c r="E12" s="8"/>
      <c r="F12" s="18">
        <f>C12/$C$6*SUM('Q4 (i)'!G13:$G$21)/'Q4 (i)'!E13/'Q4 (i)'!F12</f>
        <v>166354.25698694013</v>
      </c>
      <c r="G12" s="18">
        <f>$G$2*C12*SUM('Q4 (i)'!H13:$H$21)/'Q4 (i)'!E13/'Q4 (i)'!F12</f>
        <v>123394.5390009027</v>
      </c>
      <c r="H12" s="18">
        <f t="shared" si="0"/>
        <v>42959.717986037431</v>
      </c>
      <c r="J12" s="18">
        <f>D12/$D$6*SUM('Q4 (i)'!Q13:$Q$21)/'Q4 (i)'!O13/'Q4 (i)'!P12</f>
        <v>3712421.9036777453</v>
      </c>
      <c r="K12" s="62"/>
    </row>
    <row r="13" spans="1:11" x14ac:dyDescent="0.25">
      <c r="A13" s="31">
        <v>42004</v>
      </c>
      <c r="B13" s="8">
        <v>7</v>
      </c>
      <c r="C13" s="19">
        <f>C$6-SUM('Q4 Base'!$M$5:M11)</f>
        <v>12395000</v>
      </c>
      <c r="D13" s="19">
        <f>D$6-SUM('Q4 Base'!$N$5:N11)</f>
        <v>552500</v>
      </c>
      <c r="E13" s="8"/>
      <c r="F13" s="18">
        <f>C13/$C$6*SUM('Q4 (i)'!G14:$G$21)/'Q4 (i)'!E14/'Q4 (i)'!F13</f>
        <v>159972.6539576404</v>
      </c>
      <c r="G13" s="18">
        <f>$G$2*C13*SUM('Q4 (i)'!H14:$H$21)/'Q4 (i)'!E14/'Q4 (i)'!F13</f>
        <v>112581.80906855791</v>
      </c>
      <c r="H13" s="18">
        <f t="shared" si="0"/>
        <v>47390.844889082495</v>
      </c>
      <c r="J13" s="18">
        <f>D13/$D$6*SUM('Q4 (i)'!Q14:$Q$21)/'Q4 (i)'!O14/'Q4 (i)'!P13</f>
        <v>3297716.5108848666</v>
      </c>
      <c r="K13" s="62"/>
    </row>
    <row r="14" spans="1:11" x14ac:dyDescent="0.25">
      <c r="A14" s="31">
        <v>42369</v>
      </c>
      <c r="B14" s="8">
        <v>8</v>
      </c>
      <c r="C14" s="19">
        <f>C$6-SUM('Q4 Base'!$M$5:M12)</f>
        <v>12395000</v>
      </c>
      <c r="D14" s="19">
        <f>D$6-SUM('Q4 Base'!$N$5:N12)</f>
        <v>552500</v>
      </c>
      <c r="E14" s="8"/>
      <c r="F14" s="18">
        <f>C14/$C$6*SUM('Q4 (i)'!G15:$G$21)/'Q4 (i)'!E15/'Q4 (i)'!F14</f>
        <v>151588.75882867887</v>
      </c>
      <c r="G14" s="18">
        <f>$G$2*C14*SUM('Q4 (i)'!H15:$H$21)/'Q4 (i)'!E15/'Q4 (i)'!F14</f>
        <v>101145.90569736695</v>
      </c>
      <c r="H14" s="18">
        <f t="shared" si="0"/>
        <v>50442.853131311917</v>
      </c>
      <c r="J14" s="18">
        <f>D14/$D$6*SUM('Q4 (i)'!Q15:$Q$21)/'Q4 (i)'!O15/'Q4 (i)'!P14</f>
        <v>2949825.9185702489</v>
      </c>
      <c r="K14" s="62"/>
    </row>
    <row r="15" spans="1:11" x14ac:dyDescent="0.25">
      <c r="A15" s="31">
        <v>42735</v>
      </c>
      <c r="B15" s="8">
        <v>9</v>
      </c>
      <c r="C15" s="19">
        <f>C$6-SUM('Q4 Base'!$M$5:M13)</f>
        <v>12395000</v>
      </c>
      <c r="D15" s="19">
        <f>D$6-SUM('Q4 Base'!$N$5:N13)</f>
        <v>532500</v>
      </c>
      <c r="E15" s="8"/>
      <c r="F15" s="18">
        <f>C15/$C$6*SUM('Q4 (i)'!G16:$G$21)/'Q4 (i)'!E16/'Q4 (i)'!F15</f>
        <v>140854.7935239627</v>
      </c>
      <c r="G15" s="18">
        <f>$G$2*C15*SUM('Q4 (i)'!H16:$H$21)/'Q4 (i)'!E16/'Q4 (i)'!F15</f>
        <v>89048.6402498846</v>
      </c>
      <c r="H15" s="18">
        <f t="shared" si="0"/>
        <v>51806.153274078097</v>
      </c>
      <c r="J15" s="18">
        <f>D15/$D$6*SUM('Q4 (i)'!Q16:$Q$21)/'Q4 (i)'!O16/'Q4 (i)'!P15</f>
        <v>2495046.6308556059</v>
      </c>
      <c r="K15" s="62"/>
    </row>
    <row r="16" spans="1:11" x14ac:dyDescent="0.25">
      <c r="A16" s="31">
        <v>43100</v>
      </c>
      <c r="B16" s="8">
        <v>10</v>
      </c>
      <c r="C16" s="19">
        <f>C$6-SUM('Q4 Base'!$M$5:M14)</f>
        <v>12395000</v>
      </c>
      <c r="D16" s="19">
        <f>D$6-SUM('Q4 Base'!$N$5:N14)</f>
        <v>532500</v>
      </c>
      <c r="E16" s="8"/>
      <c r="F16" s="18">
        <f>C16/$C$6*SUM('Q4 (i)'!G17:$G$21)/'Q4 (i)'!E17/'Q4 (i)'!F16</f>
        <v>127362.81290364241</v>
      </c>
      <c r="G16" s="18">
        <f>$G$2*C16*SUM('Q4 (i)'!H17:$H$21)/'Q4 (i)'!E17/'Q4 (i)'!F16</f>
        <v>76248.84175551009</v>
      </c>
      <c r="H16" s="18">
        <f t="shared" si="0"/>
        <v>51113.971148132317</v>
      </c>
      <c r="J16" s="18">
        <f>D16/$D$6*SUM('Q4 (i)'!Q17:$Q$21)/'Q4 (i)'!O17/'Q4 (i)'!P16</f>
        <v>2132860.7541819145</v>
      </c>
      <c r="K16" s="62"/>
    </row>
    <row r="17" spans="1:11" x14ac:dyDescent="0.25">
      <c r="A17" s="31">
        <v>43465</v>
      </c>
      <c r="B17" s="8">
        <v>11</v>
      </c>
      <c r="C17" s="19">
        <f>C$6-SUM('Q4 Base'!$M$5:M15)</f>
        <v>12075000</v>
      </c>
      <c r="D17" s="19">
        <f>D$6-SUM('Q4 Base'!$N$5:N15)</f>
        <v>509500</v>
      </c>
      <c r="E17" s="8"/>
      <c r="F17" s="18">
        <f>C17/$C$6*SUM('Q4 (i)'!G18:$G$21)/'Q4 (i)'!E18/'Q4 (i)'!F17</f>
        <v>107808.64889696056</v>
      </c>
      <c r="G17" s="18">
        <f>$G$2*C17*SUM('Q4 (i)'!H18:$H$21)/'Q4 (i)'!E18/'Q4 (i)'!F17</f>
        <v>61083.02576497999</v>
      </c>
      <c r="H17" s="18">
        <f t="shared" si="0"/>
        <v>46725.623131980567</v>
      </c>
      <c r="J17" s="18">
        <f>D17/$D$6*SUM('Q4 (i)'!Q18:$Q$21)/'Q4 (i)'!O18/'Q4 (i)'!P17</f>
        <v>1678607.9962330409</v>
      </c>
      <c r="K17" s="62"/>
    </row>
    <row r="18" spans="1:11" x14ac:dyDescent="0.25">
      <c r="A18" s="31">
        <v>43830</v>
      </c>
      <c r="B18" s="8">
        <v>12</v>
      </c>
      <c r="C18" s="19">
        <f>C$6-SUM('Q4 Base'!$M$5:M16)</f>
        <v>11955000</v>
      </c>
      <c r="D18" s="19">
        <f>D$6-SUM('Q4 Base'!$N$5:N16)</f>
        <v>501500</v>
      </c>
      <c r="E18" s="8"/>
      <c r="F18" s="18">
        <f>C18/$C$6*SUM('Q4 (i)'!G19:$G$21)/'Q4 (i)'!E19/'Q4 (i)'!F18</f>
        <v>87032.707378269493</v>
      </c>
      <c r="G18" s="18">
        <f>$G$2*C18*SUM('Q4 (i)'!H19:$H$21)/'Q4 (i)'!E19/'Q4 (i)'!F18</f>
        <v>46642.305573326754</v>
      </c>
      <c r="H18" s="18">
        <f t="shared" si="0"/>
        <v>40390.40180494274</v>
      </c>
      <c r="J18" s="18">
        <f>D18/$D$6*SUM('Q4 (i)'!Q19:$Q$21)/'Q4 (i)'!O19/'Q4 (i)'!P18</f>
        <v>1277708.9129273465</v>
      </c>
      <c r="K18" s="62"/>
    </row>
    <row r="19" spans="1:11" x14ac:dyDescent="0.25">
      <c r="A19" s="31">
        <v>44196</v>
      </c>
      <c r="B19" s="8">
        <v>13</v>
      </c>
      <c r="C19" s="19">
        <f>C$6-SUM('Q4 Base'!$M$5:M17)</f>
        <v>11955000</v>
      </c>
      <c r="D19" s="19">
        <f>D$6-SUM('Q4 Base'!$N$5:N17)</f>
        <v>478500</v>
      </c>
      <c r="E19" s="8"/>
      <c r="F19" s="18">
        <f>C19/$C$6*SUM('Q4 (i)'!G20:$G$21)/'Q4 (i)'!E20/'Q4 (i)'!F19</f>
        <v>63135.786042382373</v>
      </c>
      <c r="G19" s="18">
        <f>$G$2*C19*SUM('Q4 (i)'!H20:$H$21)/'Q4 (i)'!E20/'Q4 (i)'!F19</f>
        <v>31990.035530759542</v>
      </c>
      <c r="H19" s="18">
        <f t="shared" si="0"/>
        <v>31145.750511622831</v>
      </c>
      <c r="J19" s="18">
        <f>D19/$D$6*SUM('Q4 (i)'!Q20:$Q$21)/'Q4 (i)'!O20/'Q4 (i)'!P19</f>
        <v>840846.6546669557</v>
      </c>
      <c r="K19" s="62"/>
    </row>
    <row r="20" spans="1:11" x14ac:dyDescent="0.25">
      <c r="A20" s="31">
        <v>44561</v>
      </c>
      <c r="B20" s="8">
        <v>14</v>
      </c>
      <c r="C20" s="19">
        <f>C$6-SUM('Q4 Base'!$M$5:M18)</f>
        <v>11765000</v>
      </c>
      <c r="D20" s="19">
        <f>D$6-SUM('Q4 Base'!$N$5:N18)</f>
        <v>447500</v>
      </c>
      <c r="E20" s="8"/>
      <c r="F20" s="18">
        <f>C20/$C$6*SUM('Q4 (i)'!G21:$G$21)/'Q4 (i)'!E21/'Q4 (i)'!F20</f>
        <v>33830.083366962412</v>
      </c>
      <c r="G20" s="18">
        <f>$G$2*C20*SUM('Q4 (i)'!H21:$H$21)/'Q4 (i)'!E21/'Q4 (i)'!F20</f>
        <v>16201.515253767346</v>
      </c>
      <c r="H20" s="18">
        <f t="shared" si="0"/>
        <v>17628.568113195066</v>
      </c>
      <c r="J20" s="18">
        <f>D20/$D$6*SUM('Q4 (i)'!Q21:$Q$21)/'Q4 (i)'!O21/'Q4 (i)'!P20</f>
        <v>408432.67050359701</v>
      </c>
      <c r="K20" s="62"/>
    </row>
    <row r="21" spans="1:11" x14ac:dyDescent="0.25">
      <c r="A21" s="31">
        <v>44926</v>
      </c>
      <c r="B21" s="8">
        <v>15</v>
      </c>
      <c r="C21" s="19">
        <f>C$6-SUM('Q4 Base'!$M$5:M19)</f>
        <v>11765000</v>
      </c>
      <c r="D21" s="19">
        <f>D$6-SUM('Q4 Base'!$N$5:N19)</f>
        <v>447500</v>
      </c>
      <c r="E21" s="8"/>
      <c r="F21" s="18">
        <v>0</v>
      </c>
      <c r="G21" s="18">
        <v>0</v>
      </c>
      <c r="H21" s="18">
        <f t="shared" si="0"/>
        <v>0</v>
      </c>
      <c r="J21" s="18">
        <v>0</v>
      </c>
      <c r="K21" s="62"/>
    </row>
  </sheetData>
  <mergeCells count="3">
    <mergeCell ref="F1:H1"/>
    <mergeCell ref="C4:D4"/>
    <mergeCell ref="F4:H4"/>
  </mergeCells>
  <printOptions gridLines="1" gridLinesSet="0"/>
  <pageMargins left="0.7" right="0.7" top="0.75" bottom="0.75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8292-61FB-494D-8033-F708EFD1E84F}">
  <dimension ref="A1:M21"/>
  <sheetViews>
    <sheetView workbookViewId="0">
      <selection activeCell="L21" sqref="L7:L21"/>
    </sheetView>
  </sheetViews>
  <sheetFormatPr defaultRowHeight="15" x14ac:dyDescent="0.25"/>
  <cols>
    <col min="1" max="2" width="10.7109375" bestFit="1" customWidth="1"/>
    <col min="3" max="3" width="11.5703125" bestFit="1" customWidth="1"/>
    <col min="4" max="4" width="9" bestFit="1" customWidth="1"/>
    <col min="6" max="6" width="13" customWidth="1"/>
    <col min="7" max="7" width="14.28515625" bestFit="1" customWidth="1"/>
    <col min="8" max="8" width="12.5703125" customWidth="1"/>
    <col min="9" max="9" width="12.140625" bestFit="1" customWidth="1"/>
    <col min="10" max="10" width="17.85546875" customWidth="1"/>
    <col min="13" max="13" width="18.7109375" bestFit="1" customWidth="1"/>
  </cols>
  <sheetData>
    <row r="1" spans="1:13" x14ac:dyDescent="0.25">
      <c r="A1" s="8"/>
      <c r="B1" s="8"/>
      <c r="C1" s="6" t="s">
        <v>1</v>
      </c>
      <c r="D1" s="6" t="s">
        <v>1</v>
      </c>
      <c r="E1" s="8"/>
      <c r="F1" s="3"/>
      <c r="G1" s="37" t="s">
        <v>10</v>
      </c>
      <c r="H1" s="37"/>
      <c r="I1" s="37" t="s">
        <v>10</v>
      </c>
      <c r="J1" s="37" t="s">
        <v>1</v>
      </c>
      <c r="M1" s="6" t="s">
        <v>138</v>
      </c>
    </row>
    <row r="2" spans="1:13" x14ac:dyDescent="0.25">
      <c r="A2" s="8"/>
      <c r="B2" s="8"/>
      <c r="E2" s="8"/>
      <c r="F2" s="8"/>
      <c r="G2" s="28" t="s">
        <v>151</v>
      </c>
      <c r="H2" s="28"/>
      <c r="I2" s="29">
        <f>'Q4 (i) Alternative'!H7/C6</f>
        <v>1.3770943692109942E-3</v>
      </c>
      <c r="J2" t="s">
        <v>153</v>
      </c>
    </row>
    <row r="3" spans="1:13" x14ac:dyDescent="0.25">
      <c r="A3" s="8"/>
      <c r="B3" s="8"/>
      <c r="C3" s="30"/>
      <c r="D3" s="30"/>
      <c r="E3" s="8"/>
      <c r="F3" s="8"/>
    </row>
    <row r="4" spans="1:13" ht="45.75" customHeight="1" x14ac:dyDescent="0.25">
      <c r="A4" s="8"/>
      <c r="B4" s="8"/>
      <c r="C4" s="75" t="s">
        <v>154</v>
      </c>
      <c r="D4" s="75"/>
      <c r="E4" s="8"/>
      <c r="F4" s="74" t="s">
        <v>155</v>
      </c>
      <c r="G4" s="74"/>
      <c r="H4" s="74"/>
      <c r="I4" s="74"/>
      <c r="J4" s="74"/>
      <c r="K4" s="1"/>
      <c r="L4" s="75" t="s">
        <v>156</v>
      </c>
      <c r="M4" s="75"/>
    </row>
    <row r="5" spans="1:13" ht="30" x14ac:dyDescent="0.25">
      <c r="A5" s="9" t="s">
        <v>22</v>
      </c>
      <c r="B5" s="7" t="s">
        <v>157</v>
      </c>
      <c r="C5" s="50" t="s">
        <v>155</v>
      </c>
      <c r="D5" s="58" t="s">
        <v>122</v>
      </c>
      <c r="E5" s="9"/>
      <c r="F5" s="49" t="s">
        <v>149</v>
      </c>
      <c r="G5" s="49" t="s">
        <v>158</v>
      </c>
      <c r="H5" s="49" t="s">
        <v>150</v>
      </c>
      <c r="I5" s="49" t="s">
        <v>159</v>
      </c>
      <c r="J5" s="49" t="s">
        <v>160</v>
      </c>
      <c r="L5" s="58" t="s">
        <v>152</v>
      </c>
      <c r="M5" s="58" t="s">
        <v>160</v>
      </c>
    </row>
    <row r="6" spans="1:13" x14ac:dyDescent="0.25">
      <c r="A6" s="31">
        <v>39448</v>
      </c>
      <c r="B6" s="7"/>
      <c r="C6" s="32">
        <v>12800000</v>
      </c>
      <c r="D6" s="32">
        <v>640000</v>
      </c>
      <c r="E6" s="9"/>
      <c r="F6" s="9"/>
      <c r="G6" s="9"/>
      <c r="H6" s="9"/>
      <c r="I6" s="9"/>
      <c r="J6" s="9"/>
      <c r="M6" s="9"/>
    </row>
    <row r="7" spans="1:13" x14ac:dyDescent="0.25">
      <c r="A7" s="31">
        <v>39813</v>
      </c>
      <c r="B7" s="8">
        <v>1</v>
      </c>
      <c r="C7" s="19">
        <f>C$6-SUM('Q4 Base'!$M$5:M5)</f>
        <v>12690000</v>
      </c>
      <c r="D7" s="19">
        <f>D$6-SUM('Q4 Base'!$N$5:N5)</f>
        <v>629500</v>
      </c>
      <c r="E7" s="8"/>
      <c r="F7" s="8">
        <f>'Q4 (i) Alternative'!F8</f>
        <v>1.4322524833123044E-2</v>
      </c>
      <c r="G7" s="18">
        <f>C7*F7</f>
        <v>181752.84013233142</v>
      </c>
      <c r="H7" s="63">
        <f>'Q4 (i) Alternative'!G8</f>
        <v>9.9169203324799629</v>
      </c>
      <c r="I7" s="18">
        <f>H7*$I$2*C7</f>
        <v>173301.43105060892</v>
      </c>
      <c r="J7" s="18">
        <f t="shared" ref="J7:J21" si="0">G7-I7</f>
        <v>8451.4090817224933</v>
      </c>
      <c r="L7">
        <f>'Q4 (i) Alternative'!O8</f>
        <v>9.3204470012821581</v>
      </c>
      <c r="M7" s="18">
        <f>D7*L7</f>
        <v>5867221.3873071186</v>
      </c>
    </row>
    <row r="8" spans="1:13" x14ac:dyDescent="0.25">
      <c r="A8" s="31">
        <v>40178</v>
      </c>
      <c r="B8" s="8">
        <v>2</v>
      </c>
      <c r="C8" s="19">
        <f>C$6-SUM('Q4 Base'!$M$5:M6)</f>
        <v>12690000</v>
      </c>
      <c r="D8" s="19">
        <f>D$6-SUM('Q4 Base'!$N$5:N6)</f>
        <v>606500</v>
      </c>
      <c r="E8" s="8"/>
      <c r="F8" s="8">
        <f>'Q4 (i) Alternative'!F9</f>
        <v>1.4308473204905183E-2</v>
      </c>
      <c r="G8" s="18">
        <f t="shared" ref="G8:G21" si="1">C8*F8</f>
        <v>181574.52497024677</v>
      </c>
      <c r="H8" s="63">
        <f>'Q4 (i) Alternative'!G9</f>
        <v>9.437438575861222</v>
      </c>
      <c r="I8" s="18">
        <f t="shared" ref="I8:I21" si="2">H8*$I$2*C8</f>
        <v>164922.33030170659</v>
      </c>
      <c r="J8" s="18">
        <f t="shared" si="0"/>
        <v>16652.194668540178</v>
      </c>
      <c r="L8">
        <f>'Q4 (i) Alternative'!O9</f>
        <v>8.8092061031156952</v>
      </c>
      <c r="M8" s="18">
        <f t="shared" ref="M8:M21" si="3">D8*L8</f>
        <v>5342783.501539669</v>
      </c>
    </row>
    <row r="9" spans="1:13" x14ac:dyDescent="0.25">
      <c r="A9" s="31">
        <v>40543</v>
      </c>
      <c r="B9" s="8">
        <v>3</v>
      </c>
      <c r="C9" s="19">
        <f>C$6-SUM('Q4 Base'!$M$5:M7)</f>
        <v>12690000</v>
      </c>
      <c r="D9" s="19">
        <f>D$6-SUM('Q4 Base'!$N$5:N7)</f>
        <v>594000</v>
      </c>
      <c r="E9" s="8"/>
      <c r="F9" s="8">
        <f>'Q4 (i) Alternative'!F10</f>
        <v>1.4225598940317217E-2</v>
      </c>
      <c r="G9" s="18">
        <f t="shared" si="1"/>
        <v>180522.85055262549</v>
      </c>
      <c r="H9" s="63">
        <f>'Q4 (i) Alternative'!G10</f>
        <v>8.9305662896699189</v>
      </c>
      <c r="I9" s="18">
        <f t="shared" si="2"/>
        <v>156064.57107688487</v>
      </c>
      <c r="J9" s="18">
        <f t="shared" si="0"/>
        <v>24458.279475740623</v>
      </c>
      <c r="L9">
        <f>'Q4 (i) Alternative'!O10</f>
        <v>8.2795272594003411</v>
      </c>
      <c r="M9" s="18">
        <f t="shared" si="3"/>
        <v>4918039.192083803</v>
      </c>
    </row>
    <row r="10" spans="1:13" x14ac:dyDescent="0.25">
      <c r="A10" s="31">
        <v>40908</v>
      </c>
      <c r="B10" s="8">
        <v>4</v>
      </c>
      <c r="C10" s="19">
        <f>C$6-SUM('Q4 Base'!$M$5:M8)</f>
        <v>12490000</v>
      </c>
      <c r="D10" s="19">
        <f>D$6-SUM('Q4 Base'!$N$5:N8)</f>
        <v>594000</v>
      </c>
      <c r="E10" s="8"/>
      <c r="F10" s="8">
        <f>'Q4 (i) Alternative'!F11</f>
        <v>1.4060726327028056E-2</v>
      </c>
      <c r="G10" s="18">
        <f t="shared" si="1"/>
        <v>175618.47182458043</v>
      </c>
      <c r="H10" s="63">
        <f>'Q4 (i) Alternative'!G11</f>
        <v>8.3947083236915976</v>
      </c>
      <c r="I10" s="18">
        <f t="shared" si="2"/>
        <v>144388.21649091729</v>
      </c>
      <c r="J10" s="18">
        <f t="shared" si="0"/>
        <v>31230.255333663139</v>
      </c>
      <c r="L10">
        <f>'Q4 (i) Alternative'!O11</f>
        <v>7.7311474305982957</v>
      </c>
      <c r="M10" s="18">
        <f t="shared" si="3"/>
        <v>4592301.5737753874</v>
      </c>
    </row>
    <row r="11" spans="1:13" x14ac:dyDescent="0.25">
      <c r="A11" s="31">
        <v>41274</v>
      </c>
      <c r="B11" s="8">
        <v>5</v>
      </c>
      <c r="C11" s="19">
        <f>C$6-SUM('Q4 Base'!$M$5:M9)</f>
        <v>12490000</v>
      </c>
      <c r="D11" s="19">
        <f>D$6-SUM('Q4 Base'!$N$5:N9)</f>
        <v>564500</v>
      </c>
      <c r="E11" s="8"/>
      <c r="F11" s="8">
        <f>'Q4 (i) Alternative'!F12</f>
        <v>1.3798868556645968E-2</v>
      </c>
      <c r="G11" s="18">
        <f t="shared" si="1"/>
        <v>172347.86827250815</v>
      </c>
      <c r="H11" s="63">
        <f>'Q4 (i) Alternative'!G12</f>
        <v>7.8281627640199067</v>
      </c>
      <c r="I11" s="18">
        <f t="shared" si="2"/>
        <v>134643.68460635134</v>
      </c>
      <c r="J11" s="18">
        <f t="shared" si="0"/>
        <v>37704.183666156809</v>
      </c>
      <c r="L11">
        <f>'Q4 (i) Alternative'!O12</f>
        <v>7.1636592735375473</v>
      </c>
      <c r="M11" s="18">
        <f t="shared" si="3"/>
        <v>4043885.6599119455</v>
      </c>
    </row>
    <row r="12" spans="1:13" x14ac:dyDescent="0.25">
      <c r="A12" s="31">
        <v>41639</v>
      </c>
      <c r="B12" s="8">
        <v>6</v>
      </c>
      <c r="C12" s="19">
        <f>C$6-SUM('Q4 Base'!$M$5:M10)</f>
        <v>12395000</v>
      </c>
      <c r="D12" s="19">
        <f>D$6-SUM('Q4 Base'!$N$5:N10)</f>
        <v>564500</v>
      </c>
      <c r="E12" s="8"/>
      <c r="F12" s="8">
        <f>'Q4 (i) Alternative'!F13</f>
        <v>1.3421077610886656E-2</v>
      </c>
      <c r="G12" s="18">
        <f t="shared" si="1"/>
        <v>166354.2569869401</v>
      </c>
      <c r="H12" s="63">
        <f>'Q4 (i) Alternative'!G13</f>
        <v>7.2291245326617437</v>
      </c>
      <c r="I12" s="18">
        <f t="shared" si="2"/>
        <v>123394.53900090272</v>
      </c>
      <c r="J12" s="18">
        <f t="shared" si="0"/>
        <v>42959.717986037387</v>
      </c>
      <c r="L12">
        <f>'Q4 (i) Alternative'!O13</f>
        <v>6.5764781287471115</v>
      </c>
      <c r="M12" s="18">
        <f t="shared" si="3"/>
        <v>3712421.9036777443</v>
      </c>
    </row>
    <row r="13" spans="1:13" x14ac:dyDescent="0.25">
      <c r="A13" s="31">
        <v>42004</v>
      </c>
      <c r="B13" s="8">
        <v>7</v>
      </c>
      <c r="C13" s="19">
        <f>C$6-SUM('Q4 Base'!$M$5:M11)</f>
        <v>12395000</v>
      </c>
      <c r="D13" s="19">
        <f>D$6-SUM('Q4 Base'!$N$5:N11)</f>
        <v>552500</v>
      </c>
      <c r="E13" s="8"/>
      <c r="F13" s="8">
        <f>'Q4 (i) Alternative'!F14</f>
        <v>1.2906224603278775E-2</v>
      </c>
      <c r="G13" s="18">
        <f t="shared" si="1"/>
        <v>159972.6539576404</v>
      </c>
      <c r="H13" s="63">
        <f>'Q4 (i) Alternative'!G14</f>
        <v>6.5956558893015398</v>
      </c>
      <c r="I13" s="18">
        <f t="shared" si="2"/>
        <v>112581.80906855794</v>
      </c>
      <c r="J13" s="18">
        <f t="shared" si="0"/>
        <v>47390.844889082466</v>
      </c>
      <c r="L13">
        <f>'Q4 (i) Alternative'!O14</f>
        <v>5.9687176667599386</v>
      </c>
      <c r="M13" s="18">
        <f t="shared" si="3"/>
        <v>3297716.5108848661</v>
      </c>
    </row>
    <row r="14" spans="1:13" x14ac:dyDescent="0.25">
      <c r="A14" s="31">
        <v>42369</v>
      </c>
      <c r="B14" s="8">
        <v>8</v>
      </c>
      <c r="C14" s="19">
        <f>C$6-SUM('Q4 Base'!$M$5:M12)</f>
        <v>12395000</v>
      </c>
      <c r="D14" s="19">
        <f>D$6-SUM('Q4 Base'!$N$5:N12)</f>
        <v>552500</v>
      </c>
      <c r="E14" s="8"/>
      <c r="F14" s="8">
        <f>'Q4 (i) Alternative'!F15</f>
        <v>1.2229831289122941E-2</v>
      </c>
      <c r="G14" s="18">
        <f t="shared" si="1"/>
        <v>151588.75882867887</v>
      </c>
      <c r="H14" s="63">
        <f>'Q4 (i) Alternative'!G15</f>
        <v>5.9256783499128574</v>
      </c>
      <c r="I14" s="18">
        <f t="shared" si="2"/>
        <v>101145.90569736699</v>
      </c>
      <c r="J14" s="18">
        <f t="shared" si="0"/>
        <v>50442.853131311873</v>
      </c>
      <c r="L14">
        <f>'Q4 (i) Alternative'!O15</f>
        <v>5.3390514363262405</v>
      </c>
      <c r="M14" s="18">
        <f t="shared" si="3"/>
        <v>2949825.9185702479</v>
      </c>
    </row>
    <row r="15" spans="1:13" x14ac:dyDescent="0.25">
      <c r="A15" s="31">
        <v>42735</v>
      </c>
      <c r="B15" s="8">
        <v>9</v>
      </c>
      <c r="C15" s="19">
        <f>C$6-SUM('Q4 Base'!$M$5:M13)</f>
        <v>12395000</v>
      </c>
      <c r="D15" s="19">
        <f>D$6-SUM('Q4 Base'!$N$5:N13)</f>
        <v>532500</v>
      </c>
      <c r="E15" s="8"/>
      <c r="F15" s="8">
        <f>'Q4 (i) Alternative'!F16</f>
        <v>1.136383973569687E-2</v>
      </c>
      <c r="G15" s="18">
        <f t="shared" si="1"/>
        <v>140854.7935239627</v>
      </c>
      <c r="H15" s="63">
        <f>'Q4 (i) Alternative'!G16</f>
        <v>5.216954616005343</v>
      </c>
      <c r="I15" s="18">
        <f t="shared" si="2"/>
        <v>89048.6402498846</v>
      </c>
      <c r="J15" s="18">
        <f t="shared" si="0"/>
        <v>51806.153274078097</v>
      </c>
      <c r="L15">
        <f>'Q4 (i) Alternative'!O16</f>
        <v>4.68553357907156</v>
      </c>
      <c r="M15" s="18">
        <f t="shared" si="3"/>
        <v>2495046.6308556055</v>
      </c>
    </row>
    <row r="16" spans="1:13" x14ac:dyDescent="0.25">
      <c r="A16" s="31">
        <v>43100</v>
      </c>
      <c r="B16" s="8">
        <v>10</v>
      </c>
      <c r="C16" s="19">
        <f>C$6-SUM('Q4 Base'!$M$5:M14)</f>
        <v>12395000</v>
      </c>
      <c r="D16" s="19">
        <f>D$6-SUM('Q4 Base'!$N$5:N14)</f>
        <v>532500</v>
      </c>
      <c r="E16" s="8"/>
      <c r="F16" s="8">
        <f>'Q4 (i) Alternative'!F17</f>
        <v>1.0275337870402773E-2</v>
      </c>
      <c r="G16" s="18">
        <f t="shared" si="1"/>
        <v>127362.81290364238</v>
      </c>
      <c r="H16" s="63">
        <f>'Q4 (i) Alternative'!G17</f>
        <v>4.4670726677601884</v>
      </c>
      <c r="I16" s="18">
        <f t="shared" si="2"/>
        <v>76248.841755510075</v>
      </c>
      <c r="J16" s="18">
        <f t="shared" si="0"/>
        <v>51113.971148132303</v>
      </c>
      <c r="L16">
        <f>'Q4 (i) Alternative'!O17</f>
        <v>4.005372308322845</v>
      </c>
      <c r="M16" s="18">
        <f t="shared" si="3"/>
        <v>2132860.754181915</v>
      </c>
    </row>
    <row r="17" spans="1:13" x14ac:dyDescent="0.25">
      <c r="A17" s="31">
        <v>43465</v>
      </c>
      <c r="B17" s="8">
        <v>11</v>
      </c>
      <c r="C17" s="19">
        <f>C$6-SUM('Q4 Base'!$M$5:M15)</f>
        <v>12075000</v>
      </c>
      <c r="D17" s="19">
        <f>D$6-SUM('Q4 Base'!$N$5:N15)</f>
        <v>509500</v>
      </c>
      <c r="E17" s="8"/>
      <c r="F17" s="8">
        <f>'Q4 (i) Alternative'!F18</f>
        <v>8.9282524966426934E-3</v>
      </c>
      <c r="G17" s="18">
        <f t="shared" si="1"/>
        <v>107808.64889696053</v>
      </c>
      <c r="H17" s="63">
        <f>'Q4 (i) Alternative'!G18</f>
        <v>3.6734125033252214</v>
      </c>
      <c r="I17" s="18">
        <f t="shared" si="2"/>
        <v>61083.025764979982</v>
      </c>
      <c r="J17" s="18">
        <f t="shared" si="0"/>
        <v>46725.623131980545</v>
      </c>
      <c r="L17">
        <f>'Q4 (i) Alternative'!O18</f>
        <v>3.2946182457959572</v>
      </c>
      <c r="M17" s="18">
        <f t="shared" si="3"/>
        <v>1678607.9962330402</v>
      </c>
    </row>
    <row r="18" spans="1:13" x14ac:dyDescent="0.25">
      <c r="A18" s="31">
        <v>43830</v>
      </c>
      <c r="B18" s="8">
        <v>12</v>
      </c>
      <c r="C18" s="19">
        <f>C$6-SUM('Q4 Base'!$M$5:M16)</f>
        <v>11955000</v>
      </c>
      <c r="D18" s="19">
        <f>D$6-SUM('Q4 Base'!$N$5:N16)</f>
        <v>501500</v>
      </c>
      <c r="E18" s="8"/>
      <c r="F18" s="8">
        <f>'Q4 (i) Alternative'!F19</f>
        <v>7.2800257112730629E-3</v>
      </c>
      <c r="G18" s="18">
        <f t="shared" si="1"/>
        <v>87032.707378269464</v>
      </c>
      <c r="H18" s="63">
        <f>'Q4 (i) Alternative'!G19</f>
        <v>2.8331314615705669</v>
      </c>
      <c r="I18" s="18">
        <f t="shared" si="2"/>
        <v>46642.305573326754</v>
      </c>
      <c r="J18" s="18">
        <f t="shared" si="0"/>
        <v>40390.40180494271</v>
      </c>
      <c r="L18">
        <f>'Q4 (i) Alternative'!O19</f>
        <v>2.5477745023476497</v>
      </c>
      <c r="M18" s="18">
        <f t="shared" si="3"/>
        <v>1277708.9129273463</v>
      </c>
    </row>
    <row r="19" spans="1:13" x14ac:dyDescent="0.25">
      <c r="A19" s="31">
        <v>44196</v>
      </c>
      <c r="B19" s="8">
        <v>13</v>
      </c>
      <c r="C19" s="19">
        <f>C$6-SUM('Q4 Base'!$M$5:M17)</f>
        <v>11955000</v>
      </c>
      <c r="D19" s="19">
        <f>D$6-SUM('Q4 Base'!$N$5:N17)</f>
        <v>478500</v>
      </c>
      <c r="E19" s="8"/>
      <c r="F19" s="8">
        <f>'Q4 (i) Alternative'!F20</f>
        <v>5.2811197024159231E-3</v>
      </c>
      <c r="G19" s="18">
        <f t="shared" si="1"/>
        <v>63135.786042382359</v>
      </c>
      <c r="H19" s="63">
        <f>'Q4 (i) Alternative'!G20</f>
        <v>1.9431281323877068</v>
      </c>
      <c r="I19" s="18">
        <f t="shared" si="2"/>
        <v>31990.035530759538</v>
      </c>
      <c r="J19" s="18">
        <f t="shared" si="0"/>
        <v>31145.75051162282</v>
      </c>
      <c r="L19">
        <f>'Q4 (i) Alternative'!O20</f>
        <v>1.7572552866603042</v>
      </c>
      <c r="M19" s="18">
        <f t="shared" si="3"/>
        <v>840846.65466695558</v>
      </c>
    </row>
    <row r="20" spans="1:13" x14ac:dyDescent="0.25">
      <c r="A20" s="31">
        <v>44561</v>
      </c>
      <c r="B20" s="8">
        <v>14</v>
      </c>
      <c r="C20" s="19">
        <f>C$6-SUM('Q4 Base'!$M$5:M18)</f>
        <v>11765000</v>
      </c>
      <c r="D20" s="19">
        <f>D$6-SUM('Q4 Base'!$N$5:N18)</f>
        <v>447500</v>
      </c>
      <c r="E20" s="8"/>
      <c r="F20" s="8">
        <f>'Q4 (i) Alternative'!F21</f>
        <v>2.8754851990618275E-3</v>
      </c>
      <c r="G20" s="18">
        <f t="shared" si="1"/>
        <v>33830.083366962397</v>
      </c>
      <c r="H20" s="63">
        <f>'Q4 (i) Alternative'!G21</f>
        <v>1</v>
      </c>
      <c r="I20" s="18">
        <f t="shared" si="2"/>
        <v>16201.515253767346</v>
      </c>
      <c r="J20" s="18">
        <f t="shared" si="0"/>
        <v>17628.568113195051</v>
      </c>
      <c r="L20">
        <f>'Q4 (i) Alternative'!O21</f>
        <v>0.91269870503597128</v>
      </c>
      <c r="M20" s="18">
        <f t="shared" si="3"/>
        <v>408432.67050359712</v>
      </c>
    </row>
    <row r="21" spans="1:13" x14ac:dyDescent="0.25">
      <c r="A21" s="31">
        <v>44926</v>
      </c>
      <c r="B21" s="8">
        <v>15</v>
      </c>
      <c r="C21" s="19">
        <f>C$6-SUM('Q4 Base'!$M$5:M19)</f>
        <v>11765000</v>
      </c>
      <c r="D21" s="19">
        <f>D$6-SUM('Q4 Base'!$N$5:N19)</f>
        <v>447500</v>
      </c>
      <c r="E21" s="8"/>
      <c r="F21" s="8"/>
      <c r="G21" s="18">
        <f t="shared" si="1"/>
        <v>0</v>
      </c>
      <c r="H21" s="63"/>
      <c r="I21" s="18">
        <f t="shared" si="2"/>
        <v>0</v>
      </c>
      <c r="J21" s="18">
        <f t="shared" si="0"/>
        <v>0</v>
      </c>
      <c r="L21">
        <f>'Q4 (i) Alternative'!O22</f>
        <v>0</v>
      </c>
      <c r="M21" s="18">
        <f t="shared" si="3"/>
        <v>0</v>
      </c>
    </row>
  </sheetData>
  <mergeCells count="3">
    <mergeCell ref="C4:D4"/>
    <mergeCell ref="F4:J4"/>
    <mergeCell ref="L4:M4"/>
  </mergeCells>
  <printOptions gridLines="1" gridLinesSet="0"/>
  <pageMargins left="0.7" right="0.7" top="0.75" bottom="0.75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F2FE-0479-4BA0-90F3-088566FA8379}">
  <dimension ref="A1:V22"/>
  <sheetViews>
    <sheetView tabSelected="1" workbookViewId="0">
      <selection sqref="A1:XFD1"/>
    </sheetView>
  </sheetViews>
  <sheetFormatPr defaultRowHeight="15" x14ac:dyDescent="0.25"/>
  <cols>
    <col min="1" max="2" width="10.7109375" bestFit="1" customWidth="1"/>
    <col min="3" max="3" width="11.5703125" bestFit="1" customWidth="1"/>
    <col min="4" max="4" width="9" bestFit="1" customWidth="1"/>
    <col min="8" max="8" width="12" customWidth="1"/>
    <col min="9" max="9" width="9.28515625" customWidth="1"/>
    <col min="10" max="10" width="11.5703125" bestFit="1" customWidth="1"/>
    <col min="11" max="11" width="12.85546875" customWidth="1"/>
    <col min="12" max="12" width="14.28515625" bestFit="1" customWidth="1"/>
    <col min="13" max="13" width="12.140625" bestFit="1" customWidth="1"/>
    <col min="14" max="14" width="17.85546875" customWidth="1"/>
    <col min="16" max="16" width="18.7109375" bestFit="1" customWidth="1"/>
    <col min="17" max="17" width="9.140625" customWidth="1"/>
    <col min="18" max="18" width="11.7109375" customWidth="1"/>
    <col min="20" max="20" width="12.85546875" bestFit="1" customWidth="1"/>
    <col min="21" max="21" width="13.28515625" bestFit="1" customWidth="1"/>
  </cols>
  <sheetData>
    <row r="1" spans="1:22" x14ac:dyDescent="0.25">
      <c r="A1" s="8"/>
      <c r="B1" s="8"/>
      <c r="C1" s="6"/>
      <c r="D1" s="6"/>
      <c r="E1" s="8"/>
      <c r="F1" s="78"/>
      <c r="G1" s="78"/>
      <c r="H1" s="78"/>
      <c r="I1" s="78"/>
      <c r="J1" s="78"/>
      <c r="K1" s="78"/>
      <c r="L1" s="77"/>
      <c r="M1" s="77"/>
      <c r="N1" s="77"/>
      <c r="P1" s="77"/>
      <c r="Q1" s="77"/>
      <c r="R1" s="77"/>
      <c r="S1" s="77"/>
      <c r="T1" s="77"/>
      <c r="U1" s="37"/>
    </row>
    <row r="2" spans="1:22" x14ac:dyDescent="0.25">
      <c r="A2" s="8"/>
      <c r="B2" s="8"/>
      <c r="E2" s="8"/>
      <c r="F2" s="8"/>
      <c r="G2" s="8"/>
      <c r="H2" s="8"/>
      <c r="I2" s="8"/>
      <c r="J2" s="8"/>
      <c r="K2" s="8"/>
      <c r="L2" s="28" t="s">
        <v>151</v>
      </c>
      <c r="M2" s="29">
        <f>'Q4 (i) Alternative'!H7/C7</f>
        <v>1.3770943692109942E-3</v>
      </c>
      <c r="N2" t="s">
        <v>153</v>
      </c>
    </row>
    <row r="3" spans="1:22" x14ac:dyDescent="0.25">
      <c r="A3" s="8"/>
      <c r="B3" s="8"/>
      <c r="C3" s="30"/>
      <c r="D3" s="30"/>
      <c r="E3" s="8"/>
      <c r="F3" s="8"/>
      <c r="G3" s="8"/>
      <c r="H3" s="8"/>
      <c r="I3" s="66">
        <v>5.7500000000000002E-2</v>
      </c>
      <c r="J3" s="66"/>
      <c r="K3" s="66"/>
      <c r="S3" s="2">
        <v>4.2500000000000003E-2</v>
      </c>
    </row>
    <row r="4" spans="1:22" x14ac:dyDescent="0.25">
      <c r="A4" s="8"/>
      <c r="B4" s="8"/>
      <c r="C4" s="30"/>
      <c r="D4" s="30"/>
      <c r="E4" s="8"/>
      <c r="F4" s="74" t="s">
        <v>155</v>
      </c>
      <c r="G4" s="74"/>
      <c r="H4" s="74"/>
      <c r="I4" s="74"/>
      <c r="J4" s="74"/>
      <c r="K4" s="74"/>
      <c r="L4" s="74"/>
      <c r="M4" s="74"/>
      <c r="N4" s="74"/>
      <c r="P4" s="74" t="s">
        <v>156</v>
      </c>
      <c r="Q4" s="74"/>
      <c r="R4" s="74"/>
      <c r="S4" s="74"/>
      <c r="T4" s="74"/>
      <c r="U4" s="74"/>
    </row>
    <row r="5" spans="1:22" ht="45.75" customHeight="1" x14ac:dyDescent="0.25">
      <c r="A5" s="8"/>
      <c r="B5" s="8"/>
      <c r="C5" s="75" t="s">
        <v>154</v>
      </c>
      <c r="D5" s="75"/>
      <c r="E5" s="8"/>
      <c r="F5" s="74" t="s">
        <v>161</v>
      </c>
      <c r="G5" s="74"/>
      <c r="H5" s="74"/>
      <c r="I5" s="74"/>
      <c r="J5" s="74"/>
      <c r="K5" s="74"/>
      <c r="L5" s="1"/>
      <c r="M5" s="1"/>
      <c r="N5" s="1"/>
      <c r="O5" s="1"/>
      <c r="P5" s="74" t="s">
        <v>161</v>
      </c>
      <c r="Q5" s="74"/>
      <c r="R5" s="74"/>
      <c r="S5" s="74"/>
      <c r="T5" s="74"/>
      <c r="U5" s="7"/>
    </row>
    <row r="6" spans="1:22" ht="30" x14ac:dyDescent="0.25">
      <c r="A6" s="9" t="s">
        <v>22</v>
      </c>
      <c r="B6" s="7" t="s">
        <v>157</v>
      </c>
      <c r="C6" s="7" t="s">
        <v>155</v>
      </c>
      <c r="D6" s="9" t="s">
        <v>122</v>
      </c>
      <c r="E6" s="9"/>
      <c r="F6" s="9" t="s">
        <v>162</v>
      </c>
      <c r="G6" s="9" t="s">
        <v>163</v>
      </c>
      <c r="H6" s="9" t="s">
        <v>164</v>
      </c>
      <c r="I6" s="7" t="s">
        <v>144</v>
      </c>
      <c r="J6" s="7" t="s">
        <v>165</v>
      </c>
      <c r="K6" s="7" t="s">
        <v>166</v>
      </c>
      <c r="L6" s="1" t="s">
        <v>158</v>
      </c>
      <c r="M6" s="1" t="s">
        <v>159</v>
      </c>
      <c r="N6" s="1" t="s">
        <v>160</v>
      </c>
      <c r="P6" s="9" t="s">
        <v>162</v>
      </c>
      <c r="Q6" s="9" t="s">
        <v>163</v>
      </c>
      <c r="R6" s="9" t="s">
        <v>164</v>
      </c>
      <c r="S6" s="7" t="s">
        <v>144</v>
      </c>
      <c r="T6" s="7" t="s">
        <v>165</v>
      </c>
      <c r="U6" s="7" t="s">
        <v>160</v>
      </c>
    </row>
    <row r="7" spans="1:22" x14ac:dyDescent="0.25">
      <c r="A7" s="31">
        <v>39448</v>
      </c>
      <c r="B7" s="7"/>
      <c r="C7" s="32">
        <v>12800000</v>
      </c>
      <c r="D7" s="32">
        <v>640000</v>
      </c>
      <c r="E7" s="9"/>
      <c r="F7" s="9"/>
      <c r="G7" s="9"/>
      <c r="H7" s="9"/>
      <c r="I7" s="9"/>
      <c r="J7" s="9"/>
      <c r="K7" s="9"/>
      <c r="L7" s="9"/>
      <c r="M7" s="9"/>
      <c r="N7" s="9"/>
      <c r="P7" s="9"/>
      <c r="Q7" s="9"/>
      <c r="R7" s="9"/>
      <c r="S7" s="9"/>
      <c r="T7" s="9"/>
      <c r="U7" s="9"/>
    </row>
    <row r="8" spans="1:22" x14ac:dyDescent="0.25">
      <c r="A8" s="31">
        <v>39813</v>
      </c>
      <c r="B8" s="8">
        <v>1</v>
      </c>
      <c r="C8" s="19">
        <f>C$7-SUM('Q4 Base'!$M$5:M5)</f>
        <v>12690000</v>
      </c>
      <c r="D8" s="19">
        <f>D$7-SUM('Q4 Base'!$N$5:N5)</f>
        <v>629500</v>
      </c>
      <c r="E8" s="8"/>
      <c r="F8" s="8">
        <f t="shared" ref="F8:F22" si="0">C8/C7</f>
        <v>0.99140625000000004</v>
      </c>
      <c r="G8" s="8">
        <f t="shared" ref="G8:G22" si="1">1-F8</f>
        <v>8.5937499999999556E-3</v>
      </c>
      <c r="H8" s="8">
        <v>1</v>
      </c>
      <c r="I8" s="8">
        <f>(1+$I$3)^-B8</f>
        <v>0.94562647754137108</v>
      </c>
      <c r="J8" s="67">
        <f t="shared" ref="J8:J22" si="2">C8*H8*G8*I8*(1+$I$3)^0.5</f>
        <v>106048.40709995311</v>
      </c>
      <c r="K8" s="67">
        <f>I8*H8*$M$2*C8</f>
        <v>16525.132430531929</v>
      </c>
      <c r="L8" s="18">
        <f>SUM(J9:$J$22)/I8/H9</f>
        <v>572774.59429706738</v>
      </c>
      <c r="M8" s="72">
        <f>SUM(K9:$K$22)/I8/H9</f>
        <v>156800.0524757347</v>
      </c>
      <c r="N8" s="18">
        <f t="shared" ref="N8:N22" si="3">L8-M8</f>
        <v>415974.54182133265</v>
      </c>
      <c r="P8" s="8">
        <f>D8/D7</f>
        <v>0.98359375000000004</v>
      </c>
      <c r="Q8" s="8">
        <f t="shared" ref="Q8:Q22" si="4">1-P8</f>
        <v>1.6406249999999956E-2</v>
      </c>
      <c r="R8" s="8">
        <v>1</v>
      </c>
      <c r="S8" s="8">
        <f>(1+$S$3)^-B8</f>
        <v>0.95923261390887293</v>
      </c>
      <c r="T8" s="67">
        <f>D8*R8*P8*S8</f>
        <v>593930.23081534775</v>
      </c>
      <c r="U8" s="18">
        <f>SUM(T9:$T$22)/R9/S8</f>
        <v>4891622.8270783732</v>
      </c>
      <c r="V8" s="62"/>
    </row>
    <row r="9" spans="1:22" x14ac:dyDescent="0.25">
      <c r="A9" s="31">
        <v>40178</v>
      </c>
      <c r="B9" s="8">
        <v>2</v>
      </c>
      <c r="C9" s="19">
        <f>C$7-SUM('Q4 Base'!$M$5:M6)</f>
        <v>12690000</v>
      </c>
      <c r="D9" s="19">
        <f>D$7-SUM('Q4 Base'!$N$5:N6)</f>
        <v>606500</v>
      </c>
      <c r="E9" s="8"/>
      <c r="F9" s="8">
        <f t="shared" si="0"/>
        <v>1</v>
      </c>
      <c r="G9" s="8">
        <f t="shared" si="1"/>
        <v>0</v>
      </c>
      <c r="H9" s="8">
        <f t="shared" ref="H9:H22" si="5">F8*H8</f>
        <v>0.99140625000000004</v>
      </c>
      <c r="I9" s="8">
        <f t="shared" ref="I9:I22" si="6">(1+$I$3)^-B9</f>
        <v>0.8942094350273011</v>
      </c>
      <c r="J9" s="67">
        <f t="shared" si="2"/>
        <v>0</v>
      </c>
      <c r="K9" s="67">
        <f t="shared" ref="K9:K22" si="7">I9*H9*$M$2*C9</f>
        <v>15492.311653623681</v>
      </c>
      <c r="L9" s="18">
        <f>SUM(J10:$J$22)/I9/H10</f>
        <v>605709.13346914889</v>
      </c>
      <c r="M9" s="72">
        <f>SUM(K10:$K$22)/I9/H10</f>
        <v>148340.72794780202</v>
      </c>
      <c r="N9" s="18">
        <f t="shared" si="3"/>
        <v>457368.40552134684</v>
      </c>
      <c r="P9" s="8">
        <f t="shared" ref="P9:P22" si="8">D9/D8</f>
        <v>0.96346306592533759</v>
      </c>
      <c r="Q9" s="8">
        <f t="shared" si="4"/>
        <v>3.6536934074662408E-2</v>
      </c>
      <c r="R9" s="8">
        <f t="shared" ref="R9:R22" si="9">P8*R8</f>
        <v>0.98359375000000004</v>
      </c>
      <c r="S9" s="8">
        <f t="shared" ref="S9:S22" si="10">(1+$S$3)^-B9</f>
        <v>0.92012720758644884</v>
      </c>
      <c r="T9" s="67">
        <f t="shared" ref="T9:T22" si="11">D9*R9*P9*S9</f>
        <v>528846.34738252568</v>
      </c>
      <c r="U9" s="18">
        <f>SUM(T10:$T$22)/R10/S9</f>
        <v>4686403.2545025283</v>
      </c>
      <c r="V9" s="62"/>
    </row>
    <row r="10" spans="1:22" x14ac:dyDescent="0.25">
      <c r="A10" s="31">
        <v>40543</v>
      </c>
      <c r="B10" s="8">
        <v>3</v>
      </c>
      <c r="C10" s="19">
        <f>C$7-SUM('Q4 Base'!$M$5:M7)</f>
        <v>12690000</v>
      </c>
      <c r="D10" s="19">
        <f>D$7-SUM('Q4 Base'!$N$5:N7)</f>
        <v>594000</v>
      </c>
      <c r="E10" s="8"/>
      <c r="F10" s="8">
        <f t="shared" si="0"/>
        <v>1</v>
      </c>
      <c r="G10" s="8">
        <f t="shared" si="1"/>
        <v>0</v>
      </c>
      <c r="H10" s="8">
        <f t="shared" si="5"/>
        <v>0.99140625000000004</v>
      </c>
      <c r="I10" s="8">
        <f t="shared" si="6"/>
        <v>0.84558811822912627</v>
      </c>
      <c r="J10" s="67">
        <f t="shared" si="2"/>
        <v>0</v>
      </c>
      <c r="K10" s="67">
        <f t="shared" si="7"/>
        <v>14649.940097989296</v>
      </c>
      <c r="L10" s="18">
        <f>SUM(J11:$J$22)/I10/H11</f>
        <v>640537.40864362498</v>
      </c>
      <c r="M10" s="72">
        <f>SUM(K11:$K$22)/I10/H11</f>
        <v>139394.99225951318</v>
      </c>
      <c r="N10" s="18">
        <f t="shared" si="3"/>
        <v>501142.4163841118</v>
      </c>
      <c r="P10" s="8">
        <f t="shared" si="8"/>
        <v>0.9793899422918384</v>
      </c>
      <c r="Q10" s="8">
        <f t="shared" si="4"/>
        <v>2.06100577081616E-2</v>
      </c>
      <c r="R10" s="8">
        <f t="shared" si="9"/>
        <v>0.94765625000000009</v>
      </c>
      <c r="S10" s="8">
        <f t="shared" si="10"/>
        <v>0.88261602646182147</v>
      </c>
      <c r="T10" s="67">
        <f t="shared" si="11"/>
        <v>486591.73173856759</v>
      </c>
      <c r="U10" s="18">
        <f>SUM(T11:$T$22)/R11/S10</f>
        <v>4394386.3228024486</v>
      </c>
      <c r="V10" s="62"/>
    </row>
    <row r="11" spans="1:22" x14ac:dyDescent="0.25">
      <c r="A11" s="31">
        <v>40908</v>
      </c>
      <c r="B11" s="8">
        <v>4</v>
      </c>
      <c r="C11" s="19">
        <f>C$7-SUM('Q4 Base'!$M$5:M8)</f>
        <v>12490000</v>
      </c>
      <c r="D11" s="19">
        <f>D$7-SUM('Q4 Base'!$N$5:N8)</f>
        <v>594000</v>
      </c>
      <c r="E11" s="8"/>
      <c r="F11" s="8">
        <f t="shared" si="0"/>
        <v>0.98423955870764379</v>
      </c>
      <c r="G11" s="8">
        <f t="shared" si="1"/>
        <v>1.5760441292356209E-2</v>
      </c>
      <c r="H11" s="8">
        <f t="shared" si="5"/>
        <v>0.99140625000000004</v>
      </c>
      <c r="I11" s="8">
        <f t="shared" si="6"/>
        <v>0.7996105136918451</v>
      </c>
      <c r="J11" s="67">
        <f t="shared" si="2"/>
        <v>160472.69572040546</v>
      </c>
      <c r="K11" s="67">
        <f t="shared" si="7"/>
        <v>13635.036006750259</v>
      </c>
      <c r="L11" s="18">
        <f>SUM(J12:$J$22)/I11/H12</f>
        <v>482545.24183902022</v>
      </c>
      <c r="M11" s="72">
        <f>SUM(K12:$K$22)/I11/H12</f>
        <v>132295.32839948291</v>
      </c>
      <c r="N11" s="18">
        <f t="shared" si="3"/>
        <v>350249.91343953728</v>
      </c>
      <c r="P11" s="8">
        <f t="shared" si="8"/>
        <v>1</v>
      </c>
      <c r="Q11" s="8">
        <f t="shared" si="4"/>
        <v>0</v>
      </c>
      <c r="R11" s="8">
        <f t="shared" si="9"/>
        <v>0.92812500000000009</v>
      </c>
      <c r="S11" s="8">
        <f t="shared" si="10"/>
        <v>0.84663407814083602</v>
      </c>
      <c r="T11" s="67">
        <f t="shared" si="11"/>
        <v>466754.65874203126</v>
      </c>
      <c r="U11" s="18">
        <f>SUM(T12:$T$22)/R12/S11</f>
        <v>3987147.7415215527</v>
      </c>
      <c r="V11" s="62"/>
    </row>
    <row r="12" spans="1:22" x14ac:dyDescent="0.25">
      <c r="A12" s="31">
        <v>41274</v>
      </c>
      <c r="B12" s="8">
        <v>5</v>
      </c>
      <c r="C12" s="19">
        <f>C$7-SUM('Q4 Base'!$M$5:M9)</f>
        <v>12490000</v>
      </c>
      <c r="D12" s="19">
        <f>D$7-SUM('Q4 Base'!$N$5:N9)</f>
        <v>564500</v>
      </c>
      <c r="E12" s="8"/>
      <c r="F12" s="8">
        <f t="shared" si="0"/>
        <v>1</v>
      </c>
      <c r="G12" s="8">
        <f t="shared" si="1"/>
        <v>0</v>
      </c>
      <c r="H12" s="8">
        <f t="shared" si="5"/>
        <v>0.97578125000000004</v>
      </c>
      <c r="I12" s="8">
        <f t="shared" si="6"/>
        <v>0.75613287346746572</v>
      </c>
      <c r="J12" s="67">
        <f t="shared" si="2"/>
        <v>0</v>
      </c>
      <c r="K12" s="67">
        <f t="shared" si="7"/>
        <v>12690.441439476794</v>
      </c>
      <c r="L12" s="18">
        <f>SUM(J13:$J$22)/I12/H13</f>
        <v>510291.59324476391</v>
      </c>
      <c r="M12" s="72">
        <f>SUM(K13:$K$22)/I12/H13</f>
        <v>122702.40111100784</v>
      </c>
      <c r="N12" s="18">
        <f t="shared" si="3"/>
        <v>387589.19213375606</v>
      </c>
      <c r="P12" s="8">
        <f t="shared" si="8"/>
        <v>0.95033670033670037</v>
      </c>
      <c r="Q12" s="8">
        <f t="shared" si="4"/>
        <v>4.9663299663299632E-2</v>
      </c>
      <c r="R12" s="8">
        <f t="shared" si="9"/>
        <v>0.92812500000000009</v>
      </c>
      <c r="S12" s="8">
        <f t="shared" si="10"/>
        <v>0.81211901979936307</v>
      </c>
      <c r="T12" s="67">
        <f t="shared" si="11"/>
        <v>404359.45293596876</v>
      </c>
      <c r="U12" s="18">
        <f>SUM(T13:$T$22)/R13/S12</f>
        <v>3809319.846232973</v>
      </c>
      <c r="V12" s="62"/>
    </row>
    <row r="13" spans="1:22" x14ac:dyDescent="0.25">
      <c r="A13" s="31">
        <v>41639</v>
      </c>
      <c r="B13" s="8">
        <v>6</v>
      </c>
      <c r="C13" s="19">
        <f>C$7-SUM('Q4 Base'!$M$5:M10)</f>
        <v>12395000</v>
      </c>
      <c r="D13" s="19">
        <f>D$7-SUM('Q4 Base'!$N$5:N10)</f>
        <v>564500</v>
      </c>
      <c r="E13" s="8"/>
      <c r="F13" s="8">
        <f t="shared" si="0"/>
        <v>0.99239391513210573</v>
      </c>
      <c r="G13" s="8">
        <f t="shared" si="1"/>
        <v>7.6060848678942694E-3</v>
      </c>
      <c r="H13" s="8">
        <f t="shared" si="5"/>
        <v>0.97578125000000004</v>
      </c>
      <c r="I13" s="8">
        <f t="shared" si="6"/>
        <v>0.71501926569027474</v>
      </c>
      <c r="J13" s="67">
        <f t="shared" si="2"/>
        <v>67642.25829860392</v>
      </c>
      <c r="K13" s="67">
        <f t="shared" si="7"/>
        <v>11909.141243382586</v>
      </c>
      <c r="L13" s="18">
        <f>SUM(J14:$J$22)/I13/H14</f>
        <v>446076.23736224941</v>
      </c>
      <c r="M13" s="72">
        <f>SUM(K14:$K$22)/I13/H14</f>
        <v>113552.39361128048</v>
      </c>
      <c r="N13" s="18">
        <f t="shared" si="3"/>
        <v>332523.84375096892</v>
      </c>
      <c r="P13" s="8">
        <f t="shared" si="8"/>
        <v>1</v>
      </c>
      <c r="Q13" s="8">
        <f t="shared" si="4"/>
        <v>0</v>
      </c>
      <c r="R13" s="8">
        <f t="shared" si="9"/>
        <v>0.88203125000000016</v>
      </c>
      <c r="S13" s="8">
        <f t="shared" si="10"/>
        <v>0.7790110501672548</v>
      </c>
      <c r="T13" s="67">
        <f t="shared" si="11"/>
        <v>387874.77499853127</v>
      </c>
      <c r="U13" s="18">
        <f>SUM(T14:$T$22)/R14/S13</f>
        <v>3406715.9396978738</v>
      </c>
      <c r="V13" s="62"/>
    </row>
    <row r="14" spans="1:22" x14ac:dyDescent="0.25">
      <c r="A14" s="31">
        <v>42004</v>
      </c>
      <c r="B14" s="8">
        <v>7</v>
      </c>
      <c r="C14" s="19">
        <f>C$7-SUM('Q4 Base'!$M$5:M11)</f>
        <v>12395000</v>
      </c>
      <c r="D14" s="19">
        <f>D$7-SUM('Q4 Base'!$N$5:N11)</f>
        <v>552500</v>
      </c>
      <c r="E14" s="8"/>
      <c r="F14" s="8">
        <f t="shared" si="0"/>
        <v>1</v>
      </c>
      <c r="G14" s="8">
        <f t="shared" si="1"/>
        <v>0</v>
      </c>
      <c r="H14" s="8">
        <f t="shared" si="5"/>
        <v>0.96835937500000013</v>
      </c>
      <c r="I14" s="8">
        <f t="shared" si="6"/>
        <v>0.67614114958891225</v>
      </c>
      <c r="J14" s="67">
        <f t="shared" si="2"/>
        <v>0</v>
      </c>
      <c r="K14" s="67">
        <f t="shared" si="7"/>
        <v>11175.942604616246</v>
      </c>
      <c r="L14" s="18">
        <f>SUM(J15:$J$22)/I14/H15</f>
        <v>471725.62101057876</v>
      </c>
      <c r="M14" s="72">
        <f>SUM(K15:$K$22)/I14/H15</f>
        <v>103012.57153755883</v>
      </c>
      <c r="N14" s="18">
        <f t="shared" si="3"/>
        <v>368713.0494730199</v>
      </c>
      <c r="P14" s="8">
        <f t="shared" si="8"/>
        <v>0.97874224977856505</v>
      </c>
      <c r="Q14" s="8">
        <f t="shared" si="4"/>
        <v>2.1257750221434946E-2</v>
      </c>
      <c r="R14" s="8">
        <f t="shared" si="9"/>
        <v>0.88203125000000016</v>
      </c>
      <c r="S14" s="8">
        <f t="shared" si="10"/>
        <v>0.74725280591583187</v>
      </c>
      <c r="T14" s="67">
        <f t="shared" si="11"/>
        <v>356411.85833725729</v>
      </c>
      <c r="U14" s="18">
        <f>SUM(T15:$T$22)/R15/S14</f>
        <v>3076138.0484121745</v>
      </c>
      <c r="V14" s="62"/>
    </row>
    <row r="15" spans="1:22" x14ac:dyDescent="0.25">
      <c r="A15" s="31">
        <v>42369</v>
      </c>
      <c r="B15" s="8">
        <v>8</v>
      </c>
      <c r="C15" s="19">
        <f>C$7-SUM('Q4 Base'!$M$5:M12)</f>
        <v>12395000</v>
      </c>
      <c r="D15" s="19">
        <f>D$7-SUM('Q4 Base'!$N$5:N12)</f>
        <v>552500</v>
      </c>
      <c r="E15" s="8"/>
      <c r="F15" s="8">
        <f t="shared" si="0"/>
        <v>1</v>
      </c>
      <c r="G15" s="8">
        <f t="shared" si="1"/>
        <v>0</v>
      </c>
      <c r="H15" s="8">
        <f t="shared" si="5"/>
        <v>0.96835937500000013</v>
      </c>
      <c r="I15" s="8">
        <f t="shared" si="6"/>
        <v>0.63937697360653634</v>
      </c>
      <c r="J15" s="67">
        <f t="shared" si="2"/>
        <v>0</v>
      </c>
      <c r="K15" s="67">
        <f t="shared" si="7"/>
        <v>10568.267238407796</v>
      </c>
      <c r="L15" s="18">
        <f>SUM(J16:$J$22)/I15/H16</f>
        <v>498849.84421868715</v>
      </c>
      <c r="M15" s="72">
        <f>SUM(K16:$K$22)/I15/H16</f>
        <v>91866.709694598205</v>
      </c>
      <c r="N15" s="18">
        <f t="shared" si="3"/>
        <v>406983.13452408893</v>
      </c>
      <c r="P15" s="8">
        <f t="shared" si="8"/>
        <v>1</v>
      </c>
      <c r="Q15" s="8">
        <f t="shared" si="4"/>
        <v>0</v>
      </c>
      <c r="R15" s="8">
        <f t="shared" si="9"/>
        <v>0.86328125000000011</v>
      </c>
      <c r="S15" s="8">
        <f t="shared" si="10"/>
        <v>0.71678926226938311</v>
      </c>
      <c r="T15" s="67">
        <f t="shared" si="11"/>
        <v>341881.87850096624</v>
      </c>
      <c r="U15" s="18">
        <f>SUM(T16:$T$22)/R16/S15</f>
        <v>2654373.9154696921</v>
      </c>
      <c r="V15" s="62"/>
    </row>
    <row r="16" spans="1:22" x14ac:dyDescent="0.25">
      <c r="A16" s="31">
        <v>42735</v>
      </c>
      <c r="B16" s="8">
        <v>9</v>
      </c>
      <c r="C16" s="19">
        <f>C$7-SUM('Q4 Base'!$M$5:M13)</f>
        <v>12395000</v>
      </c>
      <c r="D16" s="19">
        <f>D$7-SUM('Q4 Base'!$N$5:N13)</f>
        <v>532500</v>
      </c>
      <c r="E16" s="8"/>
      <c r="F16" s="8">
        <f t="shared" si="0"/>
        <v>1</v>
      </c>
      <c r="G16" s="8">
        <f t="shared" si="1"/>
        <v>0</v>
      </c>
      <c r="H16" s="8">
        <f t="shared" si="5"/>
        <v>0.96835937500000013</v>
      </c>
      <c r="I16" s="8">
        <f t="shared" si="6"/>
        <v>0.60461179537261112</v>
      </c>
      <c r="J16" s="67">
        <f t="shared" si="2"/>
        <v>0</v>
      </c>
      <c r="K16" s="67">
        <f t="shared" si="7"/>
        <v>9993.6333223714355</v>
      </c>
      <c r="L16" s="18">
        <f>SUM(J17:$J$22)/I16/H17</f>
        <v>527533.71026126167</v>
      </c>
      <c r="M16" s="72">
        <f>SUM(K17:$K$22)/I16/H17</f>
        <v>80079.960795667343</v>
      </c>
      <c r="N16" s="18">
        <f t="shared" si="3"/>
        <v>447453.7494655943</v>
      </c>
      <c r="P16" s="8">
        <f t="shared" si="8"/>
        <v>0.96380090497737558</v>
      </c>
      <c r="Q16" s="8">
        <f t="shared" si="4"/>
        <v>3.6199095022624417E-2</v>
      </c>
      <c r="R16" s="8">
        <f t="shared" si="9"/>
        <v>0.86328125000000011</v>
      </c>
      <c r="S16" s="8">
        <f t="shared" si="10"/>
        <v>0.68756763766847306</v>
      </c>
      <c r="T16" s="67">
        <f t="shared" si="11"/>
        <v>304631.40774786094</v>
      </c>
      <c r="U16" s="18">
        <f>SUM(T17:$T$22)/R17/S16</f>
        <v>2338616.6306096292</v>
      </c>
      <c r="V16" s="62"/>
    </row>
    <row r="17" spans="1:22" x14ac:dyDescent="0.25">
      <c r="A17" s="31">
        <v>43100</v>
      </c>
      <c r="B17" s="8">
        <v>10</v>
      </c>
      <c r="C17" s="19">
        <f>C$7-SUM('Q4 Base'!$M$5:M14)</f>
        <v>12395000</v>
      </c>
      <c r="D17" s="19">
        <f>D$7-SUM('Q4 Base'!$N$5:N14)</f>
        <v>532500</v>
      </c>
      <c r="E17" s="8"/>
      <c r="F17" s="8">
        <f t="shared" si="0"/>
        <v>1</v>
      </c>
      <c r="G17" s="8">
        <f t="shared" si="1"/>
        <v>0</v>
      </c>
      <c r="H17" s="8">
        <f t="shared" si="5"/>
        <v>0.96835937500000013</v>
      </c>
      <c r="I17" s="8">
        <f t="shared" si="6"/>
        <v>0.57173692233816642</v>
      </c>
      <c r="J17" s="67">
        <f t="shared" si="2"/>
        <v>0</v>
      </c>
      <c r="K17" s="67">
        <f t="shared" si="7"/>
        <v>9450.2442764741681</v>
      </c>
      <c r="L17" s="18">
        <f>SUM(J18:$J$22)/I17/H18</f>
        <v>557866.89860128437</v>
      </c>
      <c r="M17" s="72">
        <f>SUM(K18:$K$22)/I17/H18</f>
        <v>67615.473835047946</v>
      </c>
      <c r="N17" s="18">
        <f t="shared" si="3"/>
        <v>490251.42476623645</v>
      </c>
      <c r="P17" s="8">
        <f t="shared" si="8"/>
        <v>1</v>
      </c>
      <c r="Q17" s="8">
        <f t="shared" si="4"/>
        <v>0</v>
      </c>
      <c r="R17" s="8">
        <f t="shared" si="9"/>
        <v>0.83203125000000011</v>
      </c>
      <c r="S17" s="8">
        <f t="shared" si="10"/>
        <v>0.65953730231987828</v>
      </c>
      <c r="T17" s="67">
        <f t="shared" si="11"/>
        <v>292212.38153272035</v>
      </c>
      <c r="U17" s="18">
        <f>SUM(T18:$T$22)/R18/S17</f>
        <v>1905507.8374105389</v>
      </c>
      <c r="V17" s="62"/>
    </row>
    <row r="18" spans="1:22" x14ac:dyDescent="0.25">
      <c r="A18" s="31">
        <v>43465</v>
      </c>
      <c r="B18" s="8">
        <v>11</v>
      </c>
      <c r="C18" s="19">
        <f>C$7-SUM('Q4 Base'!$M$5:M15)</f>
        <v>12075000</v>
      </c>
      <c r="D18" s="19">
        <f>D$7-SUM('Q4 Base'!$N$5:N15)</f>
        <v>509500</v>
      </c>
      <c r="E18" s="8"/>
      <c r="F18" s="8">
        <f t="shared" si="0"/>
        <v>0.9741831383622428</v>
      </c>
      <c r="G18" s="8">
        <f t="shared" si="1"/>
        <v>2.5816861637757205E-2</v>
      </c>
      <c r="H18" s="8">
        <f t="shared" si="5"/>
        <v>0.96835937500000013</v>
      </c>
      <c r="I18" s="8">
        <f t="shared" si="6"/>
        <v>0.54064957195098473</v>
      </c>
      <c r="J18" s="67">
        <f t="shared" si="2"/>
        <v>167835.25764822704</v>
      </c>
      <c r="K18" s="67">
        <f t="shared" si="7"/>
        <v>8705.6913735654161</v>
      </c>
      <c r="L18" s="18">
        <f>SUM(J19:$J$22)/I18/H19</f>
        <v>276506.95765961369</v>
      </c>
      <c r="M18" s="72">
        <f>SUM(K19:$K$22)/I18/H19</f>
        <v>56329.192029122991</v>
      </c>
      <c r="N18" s="18">
        <f t="shared" si="3"/>
        <v>220177.7656304907</v>
      </c>
      <c r="P18" s="8">
        <f t="shared" si="8"/>
        <v>0.95680751173708922</v>
      </c>
      <c r="Q18" s="8">
        <f t="shared" si="4"/>
        <v>4.3192488262910778E-2</v>
      </c>
      <c r="R18" s="8">
        <f t="shared" si="9"/>
        <v>0.83203125000000011</v>
      </c>
      <c r="S18" s="8">
        <f t="shared" si="10"/>
        <v>0.63264969047470332</v>
      </c>
      <c r="T18" s="67">
        <f t="shared" si="11"/>
        <v>256608.89267617324</v>
      </c>
      <c r="U18" s="18">
        <f>SUM(T19:$T$22)/R19/S18</f>
        <v>1566666.7275103219</v>
      </c>
      <c r="V18" s="62"/>
    </row>
    <row r="19" spans="1:22" x14ac:dyDescent="0.25">
      <c r="A19" s="31">
        <v>43830</v>
      </c>
      <c r="B19" s="8">
        <v>12</v>
      </c>
      <c r="C19" s="19">
        <f>C$7-SUM('Q4 Base'!$M$5:M16)</f>
        <v>11955000</v>
      </c>
      <c r="D19" s="19">
        <f>D$7-SUM('Q4 Base'!$N$5:N16)</f>
        <v>501500</v>
      </c>
      <c r="E19" s="8"/>
      <c r="F19" s="8">
        <f t="shared" si="0"/>
        <v>0.99006211180124226</v>
      </c>
      <c r="G19" s="8">
        <f t="shared" si="1"/>
        <v>9.9378881987577383E-3</v>
      </c>
      <c r="H19" s="8">
        <f t="shared" si="5"/>
        <v>0.94335937500000011</v>
      </c>
      <c r="I19" s="8">
        <f t="shared" si="6"/>
        <v>0.51125255030825978</v>
      </c>
      <c r="J19" s="67">
        <f t="shared" si="2"/>
        <v>58924.584972307988</v>
      </c>
      <c r="K19" s="67">
        <f t="shared" si="7"/>
        <v>7940.099416353125</v>
      </c>
      <c r="L19" s="18">
        <f>SUM(J20:$J$22)/I19/H20</f>
        <v>171939.39249850091</v>
      </c>
      <c r="M19" s="72">
        <f>SUM(K20:$K$22)/I19/H20</f>
        <v>43537.629481102253</v>
      </c>
      <c r="N19" s="18">
        <f t="shared" si="3"/>
        <v>128401.76301739865</v>
      </c>
      <c r="P19" s="8">
        <f t="shared" si="8"/>
        <v>0.98429833169774283</v>
      </c>
      <c r="Q19" s="8">
        <f t="shared" si="4"/>
        <v>1.5701668302257166E-2</v>
      </c>
      <c r="R19" s="8">
        <f t="shared" si="9"/>
        <v>0.79609375000000016</v>
      </c>
      <c r="S19" s="8">
        <f t="shared" si="10"/>
        <v>0.6068582162826891</v>
      </c>
      <c r="T19" s="67">
        <f t="shared" si="11"/>
        <v>238478.44816575464</v>
      </c>
      <c r="U19" s="18">
        <f>SUM(T20:$T$22)/R20/S19</f>
        <v>1157803.9029258939</v>
      </c>
      <c r="V19" s="62"/>
    </row>
    <row r="20" spans="1:22" x14ac:dyDescent="0.25">
      <c r="A20" s="31">
        <v>44196</v>
      </c>
      <c r="B20" s="8">
        <v>13</v>
      </c>
      <c r="C20" s="19">
        <f>C$7-SUM('Q4 Base'!$M$5:M17)</f>
        <v>11955000</v>
      </c>
      <c r="D20" s="19">
        <f>D$7-SUM('Q4 Base'!$N$5:N17)</f>
        <v>478500</v>
      </c>
      <c r="E20" s="8"/>
      <c r="F20" s="8">
        <f t="shared" si="0"/>
        <v>1</v>
      </c>
      <c r="G20" s="8">
        <f t="shared" si="1"/>
        <v>0</v>
      </c>
      <c r="H20" s="8">
        <f t="shared" si="5"/>
        <v>0.93398437500000009</v>
      </c>
      <c r="I20" s="8">
        <f t="shared" si="6"/>
        <v>0.4834539482820423</v>
      </c>
      <c r="J20" s="67">
        <f t="shared" si="2"/>
        <v>0</v>
      </c>
      <c r="K20" s="67">
        <f t="shared" si="7"/>
        <v>7433.7509182660842</v>
      </c>
      <c r="L20" s="18">
        <f>SUM(J21:$J$22)/I20/H21</f>
        <v>181825.90756716474</v>
      </c>
      <c r="M20" s="72">
        <f>SUM(K21:$K$22)/I20/H21</f>
        <v>29577.879992348207</v>
      </c>
      <c r="N20" s="18">
        <f t="shared" si="3"/>
        <v>152248.02757481654</v>
      </c>
      <c r="P20" s="8">
        <f t="shared" si="8"/>
        <v>0.95413758723828512</v>
      </c>
      <c r="Q20" s="8">
        <f t="shared" si="4"/>
        <v>4.5862412761714877E-2</v>
      </c>
      <c r="R20" s="8">
        <f t="shared" si="9"/>
        <v>0.78359375000000009</v>
      </c>
      <c r="S20" s="8">
        <f t="shared" si="10"/>
        <v>0.58211819307692003</v>
      </c>
      <c r="T20" s="67">
        <f t="shared" si="11"/>
        <v>208254.83008254072</v>
      </c>
      <c r="U20" s="18">
        <f>SUM(T21:$T$22)/R21/S20</f>
        <v>786527.79572272208</v>
      </c>
      <c r="V20" s="62"/>
    </row>
    <row r="21" spans="1:22" x14ac:dyDescent="0.25">
      <c r="A21" s="31">
        <v>44561</v>
      </c>
      <c r="B21" s="8">
        <v>14</v>
      </c>
      <c r="C21" s="19">
        <f>C$7-SUM('Q4 Base'!$M$5:M18)</f>
        <v>11765000</v>
      </c>
      <c r="D21" s="19">
        <f>D$7-SUM('Q4 Base'!$N$5:N18)</f>
        <v>447500</v>
      </c>
      <c r="E21" s="8"/>
      <c r="F21" s="8">
        <f t="shared" si="0"/>
        <v>0.98410706817231286</v>
      </c>
      <c r="G21" s="8">
        <f t="shared" si="1"/>
        <v>1.589293182768714E-2</v>
      </c>
      <c r="H21" s="8">
        <f t="shared" si="5"/>
        <v>0.93398437500000009</v>
      </c>
      <c r="I21" s="8">
        <f t="shared" si="6"/>
        <v>0.45716685416741581</v>
      </c>
      <c r="J21" s="67">
        <f t="shared" si="2"/>
        <v>82101.385513956149</v>
      </c>
      <c r="K21" s="67">
        <f t="shared" si="7"/>
        <v>6917.8315098799749</v>
      </c>
      <c r="L21" s="18">
        <f>SUM(J22:$J$22)/I21/H22</f>
        <v>0</v>
      </c>
      <c r="M21" s="72">
        <f>SUM(K22:$K$22)/I21/H22</f>
        <v>15320.581800252812</v>
      </c>
      <c r="N21" s="18">
        <f t="shared" si="3"/>
        <v>-15320.581800252812</v>
      </c>
      <c r="P21" s="8">
        <f t="shared" si="8"/>
        <v>0.93521421107628</v>
      </c>
      <c r="Q21" s="8">
        <f t="shared" si="4"/>
        <v>6.478578892372E-2</v>
      </c>
      <c r="R21" s="8">
        <f t="shared" si="9"/>
        <v>0.74765625000000002</v>
      </c>
      <c r="S21" s="8">
        <f t="shared" si="10"/>
        <v>0.55838675594908405</v>
      </c>
      <c r="T21" s="67">
        <f t="shared" si="11"/>
        <v>174719.43405629494</v>
      </c>
      <c r="U21" s="18">
        <f>SUM(T22:$T$22)/R22/S21</f>
        <v>429256.59472422051</v>
      </c>
      <c r="V21" s="62"/>
    </row>
    <row r="22" spans="1:22" x14ac:dyDescent="0.25">
      <c r="A22" s="31">
        <v>44926</v>
      </c>
      <c r="B22" s="8">
        <v>15</v>
      </c>
      <c r="C22" s="19">
        <f>C$7-SUM('Q4 Base'!$M$5:M19)</f>
        <v>11765000</v>
      </c>
      <c r="D22" s="19">
        <f>D$7-SUM('Q4 Base'!$N$5:N19)</f>
        <v>447500</v>
      </c>
      <c r="E22" s="8"/>
      <c r="F22" s="8">
        <f t="shared" si="0"/>
        <v>1</v>
      </c>
      <c r="G22" s="8">
        <f t="shared" si="1"/>
        <v>0</v>
      </c>
      <c r="H22" s="8">
        <f t="shared" si="5"/>
        <v>0.91914062500000016</v>
      </c>
      <c r="I22" s="8">
        <f t="shared" si="6"/>
        <v>0.43230908195500312</v>
      </c>
      <c r="J22" s="67">
        <f t="shared" si="2"/>
        <v>0</v>
      </c>
      <c r="K22" s="67">
        <f t="shared" si="7"/>
        <v>6437.7180948444702</v>
      </c>
      <c r="L22" s="18">
        <v>0</v>
      </c>
      <c r="M22" s="72">
        <v>0</v>
      </c>
      <c r="N22" s="18">
        <f t="shared" si="3"/>
        <v>0</v>
      </c>
      <c r="P22" s="8">
        <f t="shared" si="8"/>
        <v>1</v>
      </c>
      <c r="Q22" s="8">
        <f t="shared" si="4"/>
        <v>0</v>
      </c>
      <c r="R22" s="8">
        <f t="shared" si="9"/>
        <v>0.69921875</v>
      </c>
      <c r="S22" s="8">
        <f t="shared" si="10"/>
        <v>0.53562278748113568</v>
      </c>
      <c r="T22" s="67">
        <f t="shared" si="11"/>
        <v>167596.57943049871</v>
      </c>
      <c r="U22" s="18">
        <v>0</v>
      </c>
      <c r="V22" s="62"/>
    </row>
  </sheetData>
  <mergeCells count="8">
    <mergeCell ref="P5:T5"/>
    <mergeCell ref="P4:U4"/>
    <mergeCell ref="P1:T1"/>
    <mergeCell ref="L1:N1"/>
    <mergeCell ref="C5:D5"/>
    <mergeCell ref="F4:N4"/>
    <mergeCell ref="F5:K5"/>
    <mergeCell ref="F1:K1"/>
  </mergeCells>
  <printOptions gridLines="1" gridLinesSet="0"/>
  <pageMargins left="0.7" right="0.7" top="0.75" bottom="0.75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5"/>
  <sheetViews>
    <sheetView workbookViewId="0">
      <selection activeCell="K22" sqref="K22"/>
    </sheetView>
  </sheetViews>
  <sheetFormatPr defaultRowHeight="15" x14ac:dyDescent="0.25"/>
  <cols>
    <col min="1" max="1" width="10.7109375" bestFit="1" customWidth="1"/>
    <col min="2" max="2" width="13.85546875" style="8" customWidth="1"/>
    <col min="3" max="3" width="12.28515625" bestFit="1" customWidth="1"/>
    <col min="4" max="4" width="12" bestFit="1" customWidth="1"/>
    <col min="5" max="5" width="9.42578125" customWidth="1"/>
    <col min="6" max="6" width="10" bestFit="1" customWidth="1"/>
    <col min="7" max="7" width="12.28515625" bestFit="1" customWidth="1"/>
    <col min="8" max="8" width="10" bestFit="1" customWidth="1"/>
    <col min="9" max="9" width="12.28515625" bestFit="1" customWidth="1"/>
    <col min="10" max="10" width="13.140625" bestFit="1" customWidth="1"/>
    <col min="11" max="11" width="12" customWidth="1"/>
    <col min="12" max="12" width="10" customWidth="1"/>
    <col min="13" max="13" width="11.28515625" bestFit="1" customWidth="1"/>
    <col min="14" max="17" width="12" bestFit="1" customWidth="1"/>
    <col min="18" max="18" width="12" customWidth="1"/>
  </cols>
  <sheetData>
    <row r="1" spans="1:18" x14ac:dyDescent="0.25">
      <c r="A1" s="8"/>
      <c r="E1" s="64" t="s">
        <v>167</v>
      </c>
      <c r="F1" s="65" t="s">
        <v>168</v>
      </c>
      <c r="G1" s="73" t="s">
        <v>169</v>
      </c>
      <c r="H1" s="70" t="s">
        <v>170</v>
      </c>
    </row>
    <row r="2" spans="1:18" x14ac:dyDescent="0.25">
      <c r="A2" s="8"/>
      <c r="C2" s="30"/>
      <c r="D2" s="30"/>
      <c r="E2" s="30"/>
      <c r="I2" s="2"/>
      <c r="P2" s="2"/>
      <c r="Q2" s="2">
        <f>'Q4 (i)'!P2</f>
        <v>4.2500000000000003E-2</v>
      </c>
    </row>
    <row r="3" spans="1:18" x14ac:dyDescent="0.25">
      <c r="A3" s="8"/>
      <c r="C3" s="32"/>
      <c r="D3" s="32"/>
      <c r="G3" s="2">
        <v>5.7500000000000002E-2</v>
      </c>
      <c r="J3" s="2">
        <f>G3</f>
        <v>5.7500000000000002E-2</v>
      </c>
    </row>
    <row r="4" spans="1:18" x14ac:dyDescent="0.25">
      <c r="A4" s="8"/>
      <c r="C4" s="30"/>
      <c r="D4" s="30"/>
      <c r="E4" s="3"/>
      <c r="F4" s="6" t="s">
        <v>10</v>
      </c>
      <c r="G4" s="6" t="s">
        <v>138</v>
      </c>
      <c r="H4" s="6" t="s">
        <v>10</v>
      </c>
      <c r="I4" s="6" t="s">
        <v>10</v>
      </c>
      <c r="J4" s="6" t="s">
        <v>10</v>
      </c>
      <c r="K4" s="6" t="s">
        <v>10</v>
      </c>
      <c r="L4" s="6"/>
      <c r="M4" s="6" t="s">
        <v>10</v>
      </c>
      <c r="N4" s="6" t="s">
        <v>1</v>
      </c>
      <c r="O4" s="6" t="s">
        <v>10</v>
      </c>
      <c r="P4" s="6" t="s">
        <v>10</v>
      </c>
      <c r="Q4" s="6" t="s">
        <v>10</v>
      </c>
      <c r="R4" s="6" t="s">
        <v>10</v>
      </c>
    </row>
    <row r="5" spans="1:18" ht="45" customHeight="1" x14ac:dyDescent="0.25">
      <c r="A5" s="8"/>
      <c r="C5" s="75" t="s">
        <v>154</v>
      </c>
      <c r="D5" s="75"/>
      <c r="E5" s="9"/>
      <c r="F5" s="59" t="s">
        <v>171</v>
      </c>
      <c r="G5" s="59" t="s">
        <v>172</v>
      </c>
      <c r="H5" s="59" t="s">
        <v>173</v>
      </c>
      <c r="I5" s="59" t="s">
        <v>174</v>
      </c>
      <c r="J5" s="59" t="s">
        <v>175</v>
      </c>
      <c r="K5" s="59" t="s">
        <v>176</v>
      </c>
      <c r="L5" s="33"/>
      <c r="M5" s="60" t="s">
        <v>171</v>
      </c>
      <c r="N5" s="60" t="s">
        <v>172</v>
      </c>
      <c r="O5" s="60" t="s">
        <v>173</v>
      </c>
      <c r="P5" s="60" t="s">
        <v>174</v>
      </c>
      <c r="Q5" s="60" t="s">
        <v>175</v>
      </c>
      <c r="R5" s="60" t="s">
        <v>176</v>
      </c>
    </row>
    <row r="6" spans="1:18" s="9" customFormat="1" ht="30" x14ac:dyDescent="0.25">
      <c r="A6" s="9" t="s">
        <v>22</v>
      </c>
      <c r="B6" s="7" t="s">
        <v>157</v>
      </c>
      <c r="C6" s="7" t="s">
        <v>155</v>
      </c>
      <c r="D6" s="9" t="s">
        <v>122</v>
      </c>
      <c r="F6" s="74" t="s">
        <v>177</v>
      </c>
      <c r="G6" s="74"/>
      <c r="H6" s="74"/>
      <c r="I6" s="74"/>
      <c r="J6" s="74"/>
      <c r="K6" s="74"/>
      <c r="M6" s="74" t="s">
        <v>178</v>
      </c>
      <c r="N6" s="74"/>
      <c r="O6" s="74"/>
      <c r="P6" s="74"/>
      <c r="Q6" s="74"/>
      <c r="R6" s="74"/>
    </row>
    <row r="7" spans="1:18" s="9" customFormat="1" x14ac:dyDescent="0.25">
      <c r="A7" s="31">
        <v>39448</v>
      </c>
      <c r="B7" s="8"/>
      <c r="C7" s="32">
        <v>12800000</v>
      </c>
      <c r="D7" s="32">
        <v>640000</v>
      </c>
    </row>
    <row r="8" spans="1:18" x14ac:dyDescent="0.25">
      <c r="A8" s="31">
        <v>39813</v>
      </c>
      <c r="B8" s="8">
        <v>1</v>
      </c>
      <c r="C8" s="19">
        <f>C$7-SUM('Q4 Base'!$M$5:M5)</f>
        <v>12690000</v>
      </c>
      <c r="D8" s="19">
        <f>D$7-SUM('Q4 Base'!$N$5:N5)</f>
        <v>629500</v>
      </c>
      <c r="E8" s="22"/>
      <c r="F8" s="22">
        <f>'Q4 (ii)'!H7*IF($F$1="Y",C7/C8,1)</f>
        <v>8524.667946891117</v>
      </c>
      <c r="G8" s="22">
        <f t="shared" ref="G8:G22" si="0">C7*(1+$G$3)^0.5-F8</f>
        <v>13154332.164823115</v>
      </c>
      <c r="H8" s="22">
        <f>'Q4 (i)'!C7*G8</f>
        <v>10115.681434748976</v>
      </c>
      <c r="I8" s="22">
        <f t="shared" ref="I8:I22" si="1">G8*(1-C8/C7)</f>
        <v>113045.04204144806</v>
      </c>
      <c r="J8" s="22">
        <f t="shared" ref="J8:J22" si="2">H8-I8</f>
        <v>-102929.36060669909</v>
      </c>
      <c r="K8" s="22">
        <f>J8</f>
        <v>-102929.36060669909</v>
      </c>
      <c r="L8" s="22"/>
      <c r="M8" s="22">
        <f>'Q4 (ii)'!J7*IF($F$1="Y",D7/D8,1)</f>
        <v>5965086.0808205819</v>
      </c>
      <c r="N8" s="22">
        <f t="shared" ref="N8:N22" si="3">-D7-M8</f>
        <v>-6605086.0808205819</v>
      </c>
      <c r="O8" s="22">
        <f>'Q4 (i)'!M7*N8</f>
        <v>-57532.281289771519</v>
      </c>
      <c r="P8" s="22">
        <f t="shared" ref="P8:P22" si="4">N8*(1-D8/D7)</f>
        <v>-108364.69351346238</v>
      </c>
      <c r="Q8" s="22">
        <f t="shared" ref="Q8:Q22" si="5">O8-P8</f>
        <v>50832.412223690859</v>
      </c>
      <c r="R8" s="22">
        <f>Q8</f>
        <v>50832.412223690859</v>
      </c>
    </row>
    <row r="9" spans="1:18" x14ac:dyDescent="0.25">
      <c r="A9" s="31">
        <v>40178</v>
      </c>
      <c r="B9" s="8">
        <v>2</v>
      </c>
      <c r="C9" s="19">
        <f>C$7-SUM('Q4 Base'!$M$5:M6)</f>
        <v>12690000</v>
      </c>
      <c r="D9" s="19">
        <f>D$7-SUM('Q4 Base'!$N$5:N6)</f>
        <v>606500</v>
      </c>
      <c r="E9" s="22"/>
      <c r="F9" s="22">
        <f>'Q4 (ii)'!H8*IF($F$1="Y",C8/C9,1)</f>
        <v>16652.194668540149</v>
      </c>
      <c r="G9" s="22">
        <f t="shared" si="0"/>
        <v>13033086.337194849</v>
      </c>
      <c r="H9" s="22">
        <f>'Q4 (i)'!C8*G9</f>
        <v>10765.329314522945</v>
      </c>
      <c r="I9" s="22">
        <f t="shared" si="1"/>
        <v>0</v>
      </c>
      <c r="J9" s="22">
        <f t="shared" si="2"/>
        <v>10765.329314522945</v>
      </c>
      <c r="K9" s="22">
        <f t="shared" ref="K9:K22" si="6">J9+K8*(1+$J$3)</f>
        <v>-98082.469527061359</v>
      </c>
      <c r="L9" s="22"/>
      <c r="M9" s="22">
        <f>'Q4 (ii)'!J8*IF($F$1="Y",D8/D9,1)</f>
        <v>5545395.2419113303</v>
      </c>
      <c r="N9" s="22">
        <f t="shared" si="3"/>
        <v>-6174895.2419113303</v>
      </c>
      <c r="O9" s="22">
        <f>'Q4 (i)'!M8*N9</f>
        <v>-58316.945643658983</v>
      </c>
      <c r="P9" s="22">
        <f t="shared" si="4"/>
        <v>-225611.74037166085</v>
      </c>
      <c r="Q9" s="22">
        <f t="shared" si="5"/>
        <v>167294.79472800187</v>
      </c>
      <c r="R9" s="22">
        <f t="shared" ref="R9:R22" si="7">Q9+R8*(1+$Q$2)</f>
        <v>220287.5844711996</v>
      </c>
    </row>
    <row r="10" spans="1:18" x14ac:dyDescent="0.25">
      <c r="A10" s="31">
        <v>40543</v>
      </c>
      <c r="B10" s="8">
        <v>3</v>
      </c>
      <c r="C10" s="19">
        <f>C$7-SUM('Q4 Base'!$M$5:M7)</f>
        <v>12690000</v>
      </c>
      <c r="D10" s="19">
        <f>D$7-SUM('Q4 Base'!$N$5:N7)</f>
        <v>594000</v>
      </c>
      <c r="E10" s="22"/>
      <c r="F10" s="22">
        <f>'Q4 (ii)'!H9*IF($F$1="Y",C9/C10,1)</f>
        <v>24458.279475740594</v>
      </c>
      <c r="G10" s="22">
        <f t="shared" si="0"/>
        <v>13025280.252387648</v>
      </c>
      <c r="H10" s="22">
        <f>'Q4 (i)'!C9*G10</f>
        <v>11631.575265382171</v>
      </c>
      <c r="I10" s="22">
        <f t="shared" si="1"/>
        <v>0</v>
      </c>
      <c r="J10" s="22">
        <f t="shared" si="2"/>
        <v>11631.575265382171</v>
      </c>
      <c r="K10" s="22">
        <f t="shared" si="6"/>
        <v>-92090.636259485225</v>
      </c>
      <c r="L10" s="22"/>
      <c r="M10" s="22">
        <f>'Q4 (ii)'!J9*IF($F$1="Y",D9/D10,1)</f>
        <v>5021533.2828263063</v>
      </c>
      <c r="N10" s="22">
        <f t="shared" si="3"/>
        <v>-5628033.2828263063</v>
      </c>
      <c r="O10" s="22">
        <f>'Q4 (i)'!M9*N10</f>
        <v>-58181.482471201787</v>
      </c>
      <c r="P10" s="22">
        <f t="shared" si="4"/>
        <v>-115994.09074250434</v>
      </c>
      <c r="Q10" s="22">
        <f t="shared" si="5"/>
        <v>57812.608271302553</v>
      </c>
      <c r="R10" s="22">
        <f t="shared" si="7"/>
        <v>287462.41508252814</v>
      </c>
    </row>
    <row r="11" spans="1:18" x14ac:dyDescent="0.25">
      <c r="A11" s="31">
        <v>40908</v>
      </c>
      <c r="B11" s="8">
        <v>4</v>
      </c>
      <c r="C11" s="19">
        <f>C$7-SUM('Q4 Base'!$M$5:M8)</f>
        <v>12490000</v>
      </c>
      <c r="D11" s="19">
        <f>D$7-SUM('Q4 Base'!$N$5:N8)</f>
        <v>594000</v>
      </c>
      <c r="E11" s="22"/>
      <c r="F11" s="22">
        <f>'Q4 (ii)'!H10*IF($F$1="Y",C10/C11,1)</f>
        <v>31730.339486323875</v>
      </c>
      <c r="G11" s="22">
        <f t="shared" si="0"/>
        <v>13018008.192377066</v>
      </c>
      <c r="H11" s="22">
        <f>'Q4 (i)'!C10*G11</f>
        <v>12614.449938413378</v>
      </c>
      <c r="I11" s="22">
        <f t="shared" si="1"/>
        <v>205169.55385937094</v>
      </c>
      <c r="J11" s="22">
        <f t="shared" si="2"/>
        <v>-192555.10392095757</v>
      </c>
      <c r="K11" s="22">
        <f t="shared" si="6"/>
        <v>-289940.95176536322</v>
      </c>
      <c r="L11" s="22"/>
      <c r="M11" s="22">
        <f>'Q4 (ii)'!J10*IF($F$1="Y",D10/D11,1)</f>
        <v>4592301.5737753874</v>
      </c>
      <c r="N11" s="22">
        <f t="shared" si="3"/>
        <v>-5186301.5737753874</v>
      </c>
      <c r="O11" s="22">
        <f>'Q4 (i)'!M10*N11</f>
        <v>-59245.716028023133</v>
      </c>
      <c r="P11" s="22">
        <f t="shared" si="4"/>
        <v>0</v>
      </c>
      <c r="Q11" s="22">
        <f t="shared" si="5"/>
        <v>-59245.716028023133</v>
      </c>
      <c r="R11" s="22">
        <f t="shared" si="7"/>
        <v>240433.85169551245</v>
      </c>
    </row>
    <row r="12" spans="1:18" x14ac:dyDescent="0.25">
      <c r="A12" s="31">
        <v>41274</v>
      </c>
      <c r="B12" s="8">
        <v>5</v>
      </c>
      <c r="C12" s="19">
        <f>C$7-SUM('Q4 Base'!$M$5:M9)</f>
        <v>12490000</v>
      </c>
      <c r="D12" s="19">
        <f>D$7-SUM('Q4 Base'!$N$5:N9)</f>
        <v>564500</v>
      </c>
      <c r="E12" s="22"/>
      <c r="F12" s="22">
        <f>'Q4 (ii)'!H11*IF($F$1="Y",C11/C12,1)</f>
        <v>37704.183666156838</v>
      </c>
      <c r="G12" s="22">
        <f t="shared" si="0"/>
        <v>12806364.710185202</v>
      </c>
      <c r="H12" s="22">
        <f>'Q4 (i)'!C11*G12</f>
        <v>13510.714769245387</v>
      </c>
      <c r="I12" s="22">
        <f t="shared" si="1"/>
        <v>0</v>
      </c>
      <c r="J12" s="22">
        <f t="shared" si="2"/>
        <v>13510.714769245387</v>
      </c>
      <c r="K12" s="22">
        <f t="shared" si="6"/>
        <v>-293101.84172262624</v>
      </c>
      <c r="L12" s="22"/>
      <c r="M12" s="22">
        <f>'Q4 (ii)'!J11*IF($F$1="Y",D11/D12,1)</f>
        <v>4255213.6084813038</v>
      </c>
      <c r="N12" s="22">
        <f t="shared" si="3"/>
        <v>-4849213.6084813038</v>
      </c>
      <c r="O12" s="22">
        <f>'Q4 (i)'!M11*N12</f>
        <v>-61739.217820462261</v>
      </c>
      <c r="P12" s="22">
        <f t="shared" si="4"/>
        <v>-240827.94856935751</v>
      </c>
      <c r="Q12" s="22">
        <f t="shared" si="5"/>
        <v>179088.73074889526</v>
      </c>
      <c r="R12" s="22">
        <f t="shared" si="7"/>
        <v>429741.02114146698</v>
      </c>
    </row>
    <row r="13" spans="1:18" x14ac:dyDescent="0.25">
      <c r="A13" s="31">
        <v>41639</v>
      </c>
      <c r="B13" s="8">
        <v>6</v>
      </c>
      <c r="C13" s="19">
        <f>C$7-SUM('Q4 Base'!$M$5:M10)</f>
        <v>12395000</v>
      </c>
      <c r="D13" s="19">
        <f>D$7-SUM('Q4 Base'!$N$5:N10)</f>
        <v>564500</v>
      </c>
      <c r="E13" s="22"/>
      <c r="F13" s="22">
        <f>'Q4 (ii)'!H12*IF($F$1="Y",C12/C13,1)</f>
        <v>43288.977623687577</v>
      </c>
      <c r="G13" s="22">
        <f t="shared" si="0"/>
        <v>12800779.91622767</v>
      </c>
      <c r="H13" s="22">
        <f>'Q4 (i)'!C12*G13</f>
        <v>14772.100023326733</v>
      </c>
      <c r="I13" s="22">
        <f t="shared" si="1"/>
        <v>97363.818418064155</v>
      </c>
      <c r="J13" s="22">
        <f t="shared" si="2"/>
        <v>-82591.718394737429</v>
      </c>
      <c r="K13" s="22">
        <f t="shared" si="6"/>
        <v>-392546.91601641476</v>
      </c>
      <c r="L13" s="22"/>
      <c r="M13" s="22">
        <f>'Q4 (ii)'!J12*IF($F$1="Y",D12/D13,1)</f>
        <v>3712421.9036777453</v>
      </c>
      <c r="N13" s="22">
        <f t="shared" si="3"/>
        <v>-4276921.9036777448</v>
      </c>
      <c r="O13" s="22">
        <f>'Q4 (i)'!M12*N13</f>
        <v>-61171.103219541314</v>
      </c>
      <c r="P13" s="22">
        <f t="shared" si="4"/>
        <v>0</v>
      </c>
      <c r="Q13" s="22">
        <f t="shared" si="5"/>
        <v>-61171.103219541314</v>
      </c>
      <c r="R13" s="22">
        <f t="shared" si="7"/>
        <v>386833.91132043803</v>
      </c>
    </row>
    <row r="14" spans="1:18" x14ac:dyDescent="0.25">
      <c r="A14" s="31">
        <v>42004</v>
      </c>
      <c r="B14" s="8">
        <v>7</v>
      </c>
      <c r="C14" s="19">
        <f>C$7-SUM('Q4 Base'!$M$5:M11)</f>
        <v>12395000</v>
      </c>
      <c r="D14" s="19">
        <f>D$7-SUM('Q4 Base'!$N$5:N11)</f>
        <v>552500</v>
      </c>
      <c r="E14" s="22"/>
      <c r="F14" s="22">
        <f>'Q4 (ii)'!H13*IF($F$1="Y",C13/C14,1)</f>
        <v>47390.844889082495</v>
      </c>
      <c r="G14" s="22">
        <f t="shared" si="0"/>
        <v>12698984.970906561</v>
      </c>
      <c r="H14" s="22">
        <f>'Q4 (i)'!C13*G14</f>
        <v>16089.613958138612</v>
      </c>
      <c r="I14" s="22">
        <f t="shared" si="1"/>
        <v>0</v>
      </c>
      <c r="J14" s="22">
        <f t="shared" si="2"/>
        <v>16089.613958138612</v>
      </c>
      <c r="K14" s="22">
        <f t="shared" si="6"/>
        <v>-399028.74972922006</v>
      </c>
      <c r="L14" s="22"/>
      <c r="M14" s="22">
        <f>'Q4 (ii)'!J13*IF($F$1="Y",D13/D14,1)</f>
        <v>3369341.1228859858</v>
      </c>
      <c r="N14" s="22">
        <f t="shared" si="3"/>
        <v>-3933841.1228859858</v>
      </c>
      <c r="O14" s="22">
        <f>'Q4 (i)'!M13*N14</f>
        <v>-63641.28830193718</v>
      </c>
      <c r="P14" s="22">
        <f t="shared" si="4"/>
        <v>-83624.612001119458</v>
      </c>
      <c r="Q14" s="22">
        <f t="shared" si="5"/>
        <v>19983.323699182278</v>
      </c>
      <c r="R14" s="22">
        <f t="shared" si="7"/>
        <v>423257.67625073891</v>
      </c>
    </row>
    <row r="15" spans="1:18" x14ac:dyDescent="0.25">
      <c r="A15" s="31">
        <v>42369</v>
      </c>
      <c r="B15" s="8">
        <v>8</v>
      </c>
      <c r="C15" s="19">
        <f>C$7-SUM('Q4 Base'!$M$5:M12)</f>
        <v>12395000</v>
      </c>
      <c r="D15" s="19">
        <f>D$7-SUM('Q4 Base'!$N$5:N12)</f>
        <v>552500</v>
      </c>
      <c r="E15" s="22"/>
      <c r="F15" s="22">
        <f>'Q4 (ii)'!H14*IF($F$1="Y",C14/C15,1)</f>
        <v>50442.853131311917</v>
      </c>
      <c r="G15" s="22">
        <f t="shared" si="0"/>
        <v>12695932.962664332</v>
      </c>
      <c r="H15" s="22">
        <f>'Q4 (i)'!C14*G15</f>
        <v>17723.522415879408</v>
      </c>
      <c r="I15" s="22">
        <f t="shared" si="1"/>
        <v>0</v>
      </c>
      <c r="J15" s="22">
        <f t="shared" si="2"/>
        <v>17723.522415879408</v>
      </c>
      <c r="K15" s="22">
        <f t="shared" si="6"/>
        <v>-404249.38042277086</v>
      </c>
      <c r="L15" s="22"/>
      <c r="M15" s="22">
        <f>'Q4 (ii)'!J14*IF($F$1="Y",D14/D15,1)</f>
        <v>2949825.9185702489</v>
      </c>
      <c r="N15" s="22">
        <f t="shared" si="3"/>
        <v>-3502325.9185702489</v>
      </c>
      <c r="O15" s="22">
        <f>'Q4 (i)'!M14*N15</f>
        <v>-64456.455972775009</v>
      </c>
      <c r="P15" s="22">
        <f t="shared" si="4"/>
        <v>0</v>
      </c>
      <c r="Q15" s="22">
        <f t="shared" si="5"/>
        <v>-64456.455972775009</v>
      </c>
      <c r="R15" s="22">
        <f t="shared" si="7"/>
        <v>376789.67151862028</v>
      </c>
    </row>
    <row r="16" spans="1:18" x14ac:dyDescent="0.25">
      <c r="A16" s="31">
        <v>42735</v>
      </c>
      <c r="B16" s="8">
        <v>9</v>
      </c>
      <c r="C16" s="19">
        <f>C$7-SUM('Q4 Base'!$M$5:M13)</f>
        <v>12395000</v>
      </c>
      <c r="D16" s="19">
        <f>D$7-SUM('Q4 Base'!$N$5:N13)</f>
        <v>532500</v>
      </c>
      <c r="E16" s="22"/>
      <c r="F16" s="22">
        <f>'Q4 (ii)'!H15*IF($F$1="Y",C15/C16,1)</f>
        <v>51806.153274078097</v>
      </c>
      <c r="G16" s="22">
        <f t="shared" si="0"/>
        <v>12694569.662521565</v>
      </c>
      <c r="H16" s="22">
        <f>'Q4 (i)'!C15*G16</f>
        <v>19587.720989270776</v>
      </c>
      <c r="I16" s="22">
        <f t="shared" si="1"/>
        <v>0</v>
      </c>
      <c r="J16" s="22">
        <f t="shared" si="2"/>
        <v>19587.720989270776</v>
      </c>
      <c r="K16" s="22">
        <f t="shared" si="6"/>
        <v>-407905.99880780943</v>
      </c>
      <c r="L16" s="22"/>
      <c r="M16" s="22">
        <f>'Q4 (ii)'!J15*IF($F$1="Y",D15/D16,1)</f>
        <v>2588757.3024370372</v>
      </c>
      <c r="N16" s="22">
        <f t="shared" si="3"/>
        <v>-3141257.3024370372</v>
      </c>
      <c r="O16" s="22">
        <f>'Q4 (i)'!M15*N16</f>
        <v>-66063.78232755333</v>
      </c>
      <c r="P16" s="22">
        <f t="shared" si="4"/>
        <v>-113710.67158143116</v>
      </c>
      <c r="Q16" s="22">
        <f t="shared" si="5"/>
        <v>47646.889253877831</v>
      </c>
      <c r="R16" s="22">
        <f t="shared" si="7"/>
        <v>440450.12181203952</v>
      </c>
    </row>
    <row r="17" spans="1:19" x14ac:dyDescent="0.25">
      <c r="A17" s="31">
        <v>43100</v>
      </c>
      <c r="B17" s="8">
        <v>10</v>
      </c>
      <c r="C17" s="19">
        <f>C$7-SUM('Q4 Base'!$M$5:M14)</f>
        <v>12395000</v>
      </c>
      <c r="D17" s="19">
        <f>D$7-SUM('Q4 Base'!$N$5:N14)</f>
        <v>532500</v>
      </c>
      <c r="E17" s="22"/>
      <c r="F17" s="22">
        <f>'Q4 (ii)'!H16*IF($F$1="Y",C16/C17,1)</f>
        <v>51113.971148132317</v>
      </c>
      <c r="G17" s="22">
        <f t="shared" si="0"/>
        <v>12695261.844647512</v>
      </c>
      <c r="H17" s="22">
        <f>'Q4 (i)'!C16*G17</f>
        <v>21721.593016191895</v>
      </c>
      <c r="I17" s="22">
        <f t="shared" si="1"/>
        <v>0</v>
      </c>
      <c r="J17" s="22">
        <f t="shared" si="2"/>
        <v>21721.593016191895</v>
      </c>
      <c r="K17" s="22">
        <f t="shared" si="6"/>
        <v>-409639.00072306662</v>
      </c>
      <c r="L17" s="22"/>
      <c r="M17" s="22">
        <f>'Q4 (ii)'!J16*IF($F$1="Y",D16/D17,1)</f>
        <v>2132860.7541819145</v>
      </c>
      <c r="N17" s="22">
        <f t="shared" si="3"/>
        <v>-2665360.7541819145</v>
      </c>
      <c r="O17" s="22">
        <f>'Q4 (i)'!M16*N17</f>
        <v>-64274.64151494603</v>
      </c>
      <c r="P17" s="22">
        <f t="shared" si="4"/>
        <v>0</v>
      </c>
      <c r="Q17" s="22">
        <f t="shared" si="5"/>
        <v>-64274.64151494603</v>
      </c>
      <c r="R17" s="22">
        <f t="shared" si="7"/>
        <v>394894.61047410517</v>
      </c>
    </row>
    <row r="18" spans="1:19" x14ac:dyDescent="0.25">
      <c r="A18" s="31">
        <v>43465</v>
      </c>
      <c r="B18" s="8">
        <v>11</v>
      </c>
      <c r="C18" s="19">
        <f>C$7-SUM('Q4 Base'!$M$5:M15)</f>
        <v>12075000</v>
      </c>
      <c r="D18" s="19">
        <f>D$7-SUM('Q4 Base'!$N$5:N15)</f>
        <v>509500</v>
      </c>
      <c r="E18" s="22"/>
      <c r="F18" s="22">
        <f>'Q4 (ii)'!H17*IF($F$1="Y",C17/C18,1)</f>
        <v>47963.900515188339</v>
      </c>
      <c r="G18" s="22">
        <f t="shared" si="0"/>
        <v>12698411.915280456</v>
      </c>
      <c r="H18" s="22">
        <f>'Q4 (i)'!C17*G18</f>
        <v>24139.681050948144</v>
      </c>
      <c r="I18" s="22">
        <f t="shared" si="1"/>
        <v>327833.143436043</v>
      </c>
      <c r="J18" s="22">
        <f t="shared" si="2"/>
        <v>-303693.46238509484</v>
      </c>
      <c r="K18" s="22">
        <f t="shared" si="6"/>
        <v>-736886.70564973785</v>
      </c>
      <c r="L18" s="22"/>
      <c r="M18" s="22">
        <f>'Q4 (ii)'!J17*IF($F$1="Y",D17/D18,1)</f>
        <v>1754384.2158863479</v>
      </c>
      <c r="N18" s="22">
        <f t="shared" si="3"/>
        <v>-2286884.2158863479</v>
      </c>
      <c r="O18" s="22">
        <f>'Q4 (i)'!M17*N18</f>
        <v>-63376.879651701536</v>
      </c>
      <c r="P18" s="22">
        <f t="shared" si="4"/>
        <v>-98776.219653306995</v>
      </c>
      <c r="Q18" s="22">
        <f t="shared" si="5"/>
        <v>35399.340001605458</v>
      </c>
      <c r="R18" s="22">
        <f t="shared" si="7"/>
        <v>447076.97142086009</v>
      </c>
    </row>
    <row r="19" spans="1:19" x14ac:dyDescent="0.25">
      <c r="A19" s="31">
        <v>43830</v>
      </c>
      <c r="B19" s="8">
        <v>12</v>
      </c>
      <c r="C19" s="19">
        <f>C$7-SUM('Q4 Base'!$M$5:M16)</f>
        <v>11955000</v>
      </c>
      <c r="D19" s="19">
        <f>D$7-SUM('Q4 Base'!$N$5:N16)</f>
        <v>501500</v>
      </c>
      <c r="E19" s="22"/>
      <c r="F19" s="22">
        <f>'Q4 (ii)'!H18*IF($F$1="Y",C18/C19,1)</f>
        <v>40795.826164339909</v>
      </c>
      <c r="G19" s="22">
        <f t="shared" si="0"/>
        <v>12376508.568812052</v>
      </c>
      <c r="H19" s="22">
        <f>'Q4 (i)'!C18*G19</f>
        <v>26201.068640175112</v>
      </c>
      <c r="I19" s="22">
        <f t="shared" si="1"/>
        <v>122996.35844782132</v>
      </c>
      <c r="J19" s="22">
        <f t="shared" si="2"/>
        <v>-96795.289807646201</v>
      </c>
      <c r="K19" s="22">
        <f t="shared" si="6"/>
        <v>-876052.98103224405</v>
      </c>
      <c r="L19" s="22"/>
      <c r="M19" s="22">
        <f>'Q4 (ii)'!J18*IF($F$1="Y",D18/D19,1)</f>
        <v>1298091.1089461278</v>
      </c>
      <c r="N19" s="22">
        <f t="shared" si="3"/>
        <v>-1807591.1089461278</v>
      </c>
      <c r="O19" s="22">
        <f>'Q4 (i)'!M18*N19</f>
        <v>-57642.272873183072</v>
      </c>
      <c r="P19" s="22">
        <f t="shared" si="4"/>
        <v>-28382.196018781295</v>
      </c>
      <c r="Q19" s="22">
        <f t="shared" si="5"/>
        <v>-29260.076854401777</v>
      </c>
      <c r="R19" s="22">
        <f t="shared" si="7"/>
        <v>436817.66585184482</v>
      </c>
    </row>
    <row r="20" spans="1:19" x14ac:dyDescent="0.25">
      <c r="A20" s="31">
        <v>44196</v>
      </c>
      <c r="B20" s="8">
        <v>13</v>
      </c>
      <c r="C20" s="19">
        <f>C$7-SUM('Q4 Base'!$M$5:M17)</f>
        <v>11955000</v>
      </c>
      <c r="D20" s="19">
        <f>D$7-SUM('Q4 Base'!$N$5:N17)</f>
        <v>478500</v>
      </c>
      <c r="E20" s="22"/>
      <c r="F20" s="22">
        <f>'Q4 (ii)'!H19*IF($F$1="Y",C19/C20,1)</f>
        <v>31145.750511622831</v>
      </c>
      <c r="G20" s="22">
        <f t="shared" si="0"/>
        <v>12262756.861657552</v>
      </c>
      <c r="H20" s="22">
        <f>'Q4 (i)'!C19*G20</f>
        <v>28976.894464096797</v>
      </c>
      <c r="I20" s="22">
        <f t="shared" si="1"/>
        <v>0</v>
      </c>
      <c r="J20" s="22">
        <f t="shared" si="2"/>
        <v>28976.894464096797</v>
      </c>
      <c r="K20" s="22">
        <f t="shared" si="6"/>
        <v>-897449.13297750137</v>
      </c>
      <c r="L20" s="22"/>
      <c r="M20" s="22">
        <f>'Q4 (ii)'!J19*IF($F$1="Y",D19/D20,1)</f>
        <v>881263.5262601428</v>
      </c>
      <c r="N20" s="22">
        <f t="shared" si="3"/>
        <v>-1382763.5262601427</v>
      </c>
      <c r="O20" s="22">
        <f>'Q4 (i)'!M19*N20</f>
        <v>-50751.984533383897</v>
      </c>
      <c r="P20" s="22">
        <f t="shared" si="4"/>
        <v>-63416.871593187032</v>
      </c>
      <c r="Q20" s="22">
        <f t="shared" si="5"/>
        <v>12664.887059803135</v>
      </c>
      <c r="R20" s="22">
        <f t="shared" si="7"/>
        <v>468047.30371035135</v>
      </c>
    </row>
    <row r="21" spans="1:19" x14ac:dyDescent="0.25">
      <c r="A21" s="31">
        <v>44561</v>
      </c>
      <c r="B21" s="8">
        <v>14</v>
      </c>
      <c r="C21" s="19">
        <f>C$7-SUM('Q4 Base'!$M$5:M18)</f>
        <v>11765000</v>
      </c>
      <c r="D21" s="19">
        <f>D$7-SUM('Q4 Base'!$N$5:N18)</f>
        <v>447500</v>
      </c>
      <c r="E21" s="22"/>
      <c r="F21" s="22">
        <f>'Q4 (ii)'!H20*IF($F$1="Y",C20/C21,1)</f>
        <v>17913.262370866723</v>
      </c>
      <c r="G21" s="22">
        <f t="shared" si="0"/>
        <v>12275989.349798307</v>
      </c>
      <c r="H21" s="22">
        <f>'Q4 (i)'!C20*G21</f>
        <v>32433.163862167123</v>
      </c>
      <c r="I21" s="22">
        <f t="shared" si="1"/>
        <v>195101.46185375788</v>
      </c>
      <c r="J21" s="22">
        <f t="shared" si="2"/>
        <v>-162668.29799159075</v>
      </c>
      <c r="K21" s="22">
        <f t="shared" si="6"/>
        <v>-1111720.7561152985</v>
      </c>
      <c r="L21" s="22"/>
      <c r="M21" s="22">
        <f>'Q4 (ii)'!J20*IF($F$1="Y",D20/D21,1)</f>
        <v>436726.33035971213</v>
      </c>
      <c r="N21" s="22">
        <f t="shared" si="3"/>
        <v>-915226.33035971213</v>
      </c>
      <c r="O21" s="22">
        <f>'Q4 (i)'!M20*N21</f>
        <v>-38643.692869411163</v>
      </c>
      <c r="P21" s="22">
        <f t="shared" si="4"/>
        <v>-59293.65985611514</v>
      </c>
      <c r="Q21" s="22">
        <f t="shared" si="5"/>
        <v>20649.966986703977</v>
      </c>
      <c r="R21" s="22">
        <f t="shared" si="7"/>
        <v>508589.28110474523</v>
      </c>
    </row>
    <row r="22" spans="1:19" x14ac:dyDescent="0.25">
      <c r="A22" s="31">
        <v>44926</v>
      </c>
      <c r="B22" s="8">
        <v>15</v>
      </c>
      <c r="C22" s="19">
        <f>C$7-SUM('Q4 Base'!$M$5:M19)</f>
        <v>11765000</v>
      </c>
      <c r="D22" s="19">
        <f>D$7-SUM('Q4 Base'!$N$5:N19)</f>
        <v>447500</v>
      </c>
      <c r="E22" s="22"/>
      <c r="F22" s="22">
        <f>'Q4 (ii)'!H21*IF($F$1="Y",C21/C22,1)</f>
        <v>0</v>
      </c>
      <c r="G22" s="22">
        <f t="shared" si="0"/>
        <v>12098516.456057744</v>
      </c>
      <c r="H22" s="22">
        <f>'Q4 (i)'!C21*G22</f>
        <v>35775.31316056275</v>
      </c>
      <c r="I22" s="22">
        <f t="shared" si="1"/>
        <v>0</v>
      </c>
      <c r="J22" s="22">
        <f t="shared" si="2"/>
        <v>35775.31316056275</v>
      </c>
      <c r="K22" s="22">
        <f t="shared" si="6"/>
        <v>-1139869.3864313655</v>
      </c>
      <c r="L22" s="22"/>
      <c r="M22" s="22">
        <f>'Q4 (ii)'!J21*IF($F$1="Y",D21/D22,1)</f>
        <v>0</v>
      </c>
      <c r="N22" s="22">
        <f t="shared" si="3"/>
        <v>-447500</v>
      </c>
      <c r="O22" s="22">
        <f>'Q4 (i)'!M21*N22</f>
        <v>-21708.941000000003</v>
      </c>
      <c r="P22" s="22">
        <f t="shared" si="4"/>
        <v>0</v>
      </c>
      <c r="Q22" s="22">
        <f t="shared" si="5"/>
        <v>-21708.941000000003</v>
      </c>
      <c r="R22" s="22">
        <f t="shared" si="7"/>
        <v>508495.38455169694</v>
      </c>
    </row>
    <row r="23" spans="1:19" x14ac:dyDescent="0.25">
      <c r="A23" s="31"/>
      <c r="C23" s="22"/>
      <c r="D23" s="22"/>
      <c r="E23" s="22"/>
      <c r="F23" s="22"/>
      <c r="G23" s="22"/>
      <c r="L23" s="22"/>
      <c r="M23" s="22"/>
      <c r="N23" s="22"/>
    </row>
    <row r="24" spans="1:19" x14ac:dyDescent="0.25">
      <c r="H24" s="22">
        <f>SUM(H8:H22)</f>
        <v>296058.4223030702</v>
      </c>
      <c r="I24" s="22">
        <f>SUM(I8:I22)</f>
        <v>1061509.3780565055</v>
      </c>
      <c r="J24" s="22">
        <f>SUM(J8:J22)</f>
        <v>-765450.95575343503</v>
      </c>
      <c r="K24" s="22"/>
      <c r="O24" s="22">
        <f>SUM(O8:O22)</f>
        <v>-846746.6855175501</v>
      </c>
      <c r="P24" s="22">
        <f>SUM(P8:P22)</f>
        <v>-1138002.7039009263</v>
      </c>
      <c r="Q24" s="22">
        <f>SUM(Q8:Q22)</f>
        <v>291256.01838337595</v>
      </c>
      <c r="R24" s="61">
        <f>K22+R22</f>
        <v>-631374.00187966856</v>
      </c>
      <c r="S24" s="1" t="s">
        <v>179</v>
      </c>
    </row>
    <row r="25" spans="1:19" x14ac:dyDescent="0.25">
      <c r="R25" s="6" t="s">
        <v>10</v>
      </c>
    </row>
  </sheetData>
  <mergeCells count="3">
    <mergeCell ref="C5:D5"/>
    <mergeCell ref="F6:K6"/>
    <mergeCell ref="M6:R6"/>
  </mergeCells>
  <printOptions gridLines="1" gridLinesSet="0"/>
  <pageMargins left="0.7" right="0.7" top="0.75" bottom="0.75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87233-A635-404F-8D05-5C9C21DAA3A4}">
  <dimension ref="A1:AD25"/>
  <sheetViews>
    <sheetView workbookViewId="0">
      <selection activeCell="W24" sqref="W24"/>
    </sheetView>
  </sheetViews>
  <sheetFormatPr defaultRowHeight="15" x14ac:dyDescent="0.25"/>
  <cols>
    <col min="1" max="1" width="10.7109375" bestFit="1" customWidth="1"/>
    <col min="2" max="2" width="13.85546875" style="8" customWidth="1"/>
    <col min="3" max="3" width="12.28515625" bestFit="1" customWidth="1"/>
    <col min="4" max="4" width="12" bestFit="1" customWidth="1"/>
    <col min="5" max="5" width="9.42578125" customWidth="1"/>
    <col min="6" max="6" width="10" bestFit="1" customWidth="1"/>
    <col min="7" max="10" width="10" customWidth="1"/>
    <col min="11" max="11" width="13.140625" bestFit="1" customWidth="1"/>
    <col min="12" max="12" width="12" customWidth="1"/>
    <col min="13" max="13" width="10" customWidth="1"/>
    <col min="14" max="14" width="11.28515625" bestFit="1" customWidth="1"/>
    <col min="15" max="18" width="12" bestFit="1" customWidth="1"/>
    <col min="19" max="19" width="14.140625" customWidth="1"/>
    <col min="22" max="22" width="9.7109375" bestFit="1" customWidth="1"/>
    <col min="23" max="23" width="14.7109375" bestFit="1" customWidth="1"/>
    <col min="24" max="24" width="6.7109375" customWidth="1"/>
    <col min="25" max="25" width="11.28515625" bestFit="1" customWidth="1"/>
    <col min="26" max="26" width="12" bestFit="1" customWidth="1"/>
    <col min="27" max="27" width="13.140625" customWidth="1"/>
  </cols>
  <sheetData>
    <row r="1" spans="1:30" x14ac:dyDescent="0.25">
      <c r="A1" s="8"/>
    </row>
    <row r="2" spans="1:30" x14ac:dyDescent="0.25">
      <c r="A2" s="8"/>
      <c r="C2" s="30"/>
      <c r="D2" s="30"/>
      <c r="E2" s="30"/>
      <c r="K2" s="2">
        <f>'Q4 Base'!H7</f>
        <v>5.7500000000000002E-2</v>
      </c>
      <c r="Q2" s="2"/>
      <c r="R2" s="2">
        <f>'Q4 Base'!H12</f>
        <v>4.2500000000000003E-2</v>
      </c>
      <c r="U2" s="74" t="s">
        <v>180</v>
      </c>
      <c r="V2" s="74"/>
      <c r="W2" s="74"/>
      <c r="X2" s="74"/>
      <c r="Y2" s="74"/>
      <c r="Z2" s="74"/>
      <c r="AA2" s="74"/>
    </row>
    <row r="3" spans="1:30" x14ac:dyDescent="0.25">
      <c r="A3" s="8"/>
      <c r="C3" s="32"/>
      <c r="D3" s="32"/>
      <c r="E3" s="30"/>
    </row>
    <row r="4" spans="1:30" x14ac:dyDescent="0.25">
      <c r="A4" s="8"/>
      <c r="C4" s="30"/>
      <c r="D4" s="30"/>
      <c r="E4" s="3"/>
      <c r="F4" s="6" t="s">
        <v>10</v>
      </c>
      <c r="G4" s="6" t="s">
        <v>10</v>
      </c>
      <c r="H4" s="6" t="s">
        <v>10</v>
      </c>
      <c r="I4" s="6" t="s">
        <v>1</v>
      </c>
      <c r="J4" s="6" t="s">
        <v>10</v>
      </c>
      <c r="K4" s="6" t="s">
        <v>10</v>
      </c>
      <c r="L4" s="6" t="s">
        <v>10</v>
      </c>
      <c r="M4" s="6"/>
      <c r="N4" s="6" t="s">
        <v>10</v>
      </c>
      <c r="O4" s="6" t="s">
        <v>10</v>
      </c>
      <c r="P4" s="6" t="s">
        <v>1</v>
      </c>
      <c r="Q4" s="6" t="s">
        <v>10</v>
      </c>
      <c r="R4" s="6" t="s">
        <v>10</v>
      </c>
      <c r="S4" s="6" t="s">
        <v>10</v>
      </c>
      <c r="U4" s="6" t="s">
        <v>1</v>
      </c>
      <c r="V4" s="6" t="s">
        <v>1</v>
      </c>
      <c r="W4" s="6" t="s">
        <v>11</v>
      </c>
      <c r="Y4" s="6" t="s">
        <v>10</v>
      </c>
      <c r="Z4" s="6" t="s">
        <v>1</v>
      </c>
      <c r="AA4" s="6" t="s">
        <v>11</v>
      </c>
    </row>
    <row r="5" spans="1:30" ht="45" customHeight="1" x14ac:dyDescent="0.25">
      <c r="A5" s="8"/>
      <c r="C5" s="75" t="s">
        <v>154</v>
      </c>
      <c r="D5" s="75"/>
      <c r="E5" s="9"/>
      <c r="F5" s="59" t="s">
        <v>181</v>
      </c>
      <c r="G5" s="59" t="s">
        <v>182</v>
      </c>
      <c r="H5" s="59" t="s">
        <v>183</v>
      </c>
      <c r="I5" s="59" t="s">
        <v>184</v>
      </c>
      <c r="J5" s="59" t="s">
        <v>185</v>
      </c>
      <c r="K5" s="59" t="s">
        <v>175</v>
      </c>
      <c r="L5" s="59" t="s">
        <v>176</v>
      </c>
      <c r="M5" s="33"/>
      <c r="N5" s="60" t="s">
        <v>181</v>
      </c>
      <c r="O5" s="60" t="s">
        <v>186</v>
      </c>
      <c r="P5" s="60" t="s">
        <v>184</v>
      </c>
      <c r="Q5" s="60" t="s">
        <v>185</v>
      </c>
      <c r="R5" s="60" t="s">
        <v>175</v>
      </c>
      <c r="S5" s="60" t="s">
        <v>176</v>
      </c>
      <c r="U5" s="33" t="s">
        <v>187</v>
      </c>
      <c r="V5" s="33" t="s">
        <v>184</v>
      </c>
      <c r="W5" s="33" t="s">
        <v>188</v>
      </c>
      <c r="X5" s="33"/>
      <c r="Y5" s="33" t="s">
        <v>187</v>
      </c>
      <c r="Z5" s="33" t="s">
        <v>184</v>
      </c>
      <c r="AA5" s="33" t="s">
        <v>188</v>
      </c>
    </row>
    <row r="6" spans="1:30" s="9" customFormat="1" ht="30" x14ac:dyDescent="0.25">
      <c r="A6" s="9" t="s">
        <v>22</v>
      </c>
      <c r="B6" s="7" t="s">
        <v>157</v>
      </c>
      <c r="C6" s="7" t="s">
        <v>155</v>
      </c>
      <c r="D6" s="9" t="s">
        <v>122</v>
      </c>
      <c r="F6" s="74" t="s">
        <v>177</v>
      </c>
      <c r="G6" s="74"/>
      <c r="H6" s="74"/>
      <c r="I6" s="74"/>
      <c r="J6" s="74"/>
      <c r="K6" s="74"/>
      <c r="L6" s="74"/>
      <c r="N6" s="74" t="s">
        <v>178</v>
      </c>
      <c r="O6" s="74"/>
      <c r="P6" s="74"/>
      <c r="Q6" s="74"/>
      <c r="R6" s="74"/>
      <c r="S6" s="74"/>
      <c r="U6" s="74" t="s">
        <v>177</v>
      </c>
      <c r="V6" s="74"/>
      <c r="W6" s="74"/>
      <c r="X6" s="1"/>
      <c r="Y6" s="74" t="s">
        <v>178</v>
      </c>
      <c r="Z6" s="74"/>
      <c r="AA6" s="74"/>
      <c r="AB6" s="1"/>
      <c r="AC6" s="1"/>
      <c r="AD6" s="1"/>
    </row>
    <row r="7" spans="1:30" s="9" customFormat="1" x14ac:dyDescent="0.25">
      <c r="A7" s="31">
        <v>39448</v>
      </c>
      <c r="B7" s="8"/>
      <c r="C7" s="32">
        <v>12800000</v>
      </c>
      <c r="D7" s="32">
        <v>640000</v>
      </c>
    </row>
    <row r="8" spans="1:30" x14ac:dyDescent="0.25">
      <c r="A8" s="31">
        <v>39813</v>
      </c>
      <c r="B8" s="8">
        <v>1</v>
      </c>
      <c r="C8" s="19">
        <f>C$7-SUM('Q4 Base'!$M$5:M5)</f>
        <v>12690000</v>
      </c>
      <c r="D8" s="19">
        <f>D$7-SUM('Q4 Base'!$N$5:N5)</f>
        <v>629500</v>
      </c>
      <c r="E8" s="22"/>
      <c r="F8" s="22">
        <v>0</v>
      </c>
      <c r="G8" s="22">
        <f>'Q4 (ii) Alternative'!$I$2*'Q4 (iii) Alternative'!C7</f>
        <v>17626.807925900725</v>
      </c>
      <c r="H8" s="22">
        <f>(F8+G8)*$K$2</f>
        <v>1013.5414557392917</v>
      </c>
      <c r="I8" s="22">
        <f t="shared" ref="I8:I22" si="0">(C7-C8)*(1+$K$2)^0.5</f>
        <v>113118.30090661724</v>
      </c>
      <c r="J8" s="22">
        <f t="shared" ref="J8:J22" si="1">F9</f>
        <v>8451.4090817225224</v>
      </c>
      <c r="K8" s="22">
        <f>F8+G8+H8-I8-J8</f>
        <v>-102929.36060669975</v>
      </c>
      <c r="L8" s="22">
        <f>K8</f>
        <v>-102929.36060669975</v>
      </c>
      <c r="M8" s="22"/>
      <c r="N8" s="22">
        <f>'Q4 (i) Alternative'!P7</f>
        <v>6280627.1458329111</v>
      </c>
      <c r="O8" s="22">
        <f>N8*$R$2</f>
        <v>266926.65369789873</v>
      </c>
      <c r="P8" s="22">
        <f t="shared" ref="P8:P22" si="2">D8</f>
        <v>629500</v>
      </c>
      <c r="Q8" s="22">
        <f>'Q4 (ii) Alternative'!M7</f>
        <v>5867221.3873071186</v>
      </c>
      <c r="R8" s="22">
        <f>N8+O8-P8-Q8</f>
        <v>50832.412223691121</v>
      </c>
      <c r="S8" s="22">
        <f>R8</f>
        <v>50832.412223691121</v>
      </c>
      <c r="U8" s="22">
        <f>G8</f>
        <v>17626.807925900725</v>
      </c>
      <c r="V8" s="22">
        <f>I8</f>
        <v>113118.30090661724</v>
      </c>
      <c r="W8" s="22">
        <f>U8*(1+$K$2)-V8</f>
        <v>-94477.951524977223</v>
      </c>
      <c r="X8" s="22"/>
      <c r="Y8" s="22">
        <f>N8</f>
        <v>6280627.1458329111</v>
      </c>
      <c r="Z8" s="22">
        <f>D8</f>
        <v>629500</v>
      </c>
      <c r="AA8" s="22">
        <f>Y8*(1+R2)-Z8</f>
        <v>5918053.7995308097</v>
      </c>
    </row>
    <row r="9" spans="1:30" x14ac:dyDescent="0.25">
      <c r="A9" s="31">
        <v>40178</v>
      </c>
      <c r="B9" s="8">
        <v>2</v>
      </c>
      <c r="C9" s="19">
        <f>C$7-SUM('Q4 Base'!$M$5:M6)</f>
        <v>12690000</v>
      </c>
      <c r="D9" s="19">
        <f>D$7-SUM('Q4 Base'!$N$5:N6)</f>
        <v>606500</v>
      </c>
      <c r="E9" s="22"/>
      <c r="F9" s="22">
        <f>'Q4 (ii)'!H7</f>
        <v>8451.4090817225224</v>
      </c>
      <c r="G9" s="22">
        <f>'Q4 (ii) Alternative'!$I$2*'Q4 (iii) Alternative'!C8</f>
        <v>17475.327545287517</v>
      </c>
      <c r="H9" s="22">
        <f t="shared" ref="H9:H22" si="3">(F9+G9)*$K$2</f>
        <v>1490.7873560530772</v>
      </c>
      <c r="I9" s="22">
        <f t="shared" si="0"/>
        <v>0</v>
      </c>
      <c r="J9" s="22">
        <f t="shared" si="1"/>
        <v>16652.194668540149</v>
      </c>
      <c r="K9" s="22">
        <f t="shared" ref="K9:K22" si="4">F9+G9+H9-I9-J9</f>
        <v>10765.329314522969</v>
      </c>
      <c r="L9" s="22">
        <f t="shared" ref="L9:L22" si="5">K9+L8*(1+$K$2)</f>
        <v>-98082.469527062029</v>
      </c>
      <c r="M9" s="22"/>
      <c r="N9" s="22">
        <f>Q8</f>
        <v>5867221.3873071186</v>
      </c>
      <c r="O9" s="22">
        <f t="shared" ref="O9:O22" si="6">N9*$R$2</f>
        <v>249356.90896055257</v>
      </c>
      <c r="P9" s="22">
        <f t="shared" si="2"/>
        <v>606500</v>
      </c>
      <c r="Q9" s="22">
        <f>'Q4 (ii) Alternative'!M8</f>
        <v>5342783.501539669</v>
      </c>
      <c r="R9" s="22">
        <f t="shared" ref="R9:R22" si="7">N9+O9-P9-Q9</f>
        <v>167294.79472800251</v>
      </c>
      <c r="S9" s="22">
        <f t="shared" ref="S9:S22" si="8">R9+S8*(1+$R$2)</f>
        <v>220287.58447120051</v>
      </c>
      <c r="U9" s="22">
        <f t="shared" ref="U9:U22" si="9">G9</f>
        <v>17475.327545287517</v>
      </c>
      <c r="V9" s="22">
        <f t="shared" ref="V9:V22" si="10">I9</f>
        <v>0</v>
      </c>
      <c r="W9" s="22">
        <f>(W8+U9)*(1+$K$2)-V9</f>
        <v>-81430.274858521865</v>
      </c>
      <c r="X9" s="22"/>
      <c r="Z9" s="22">
        <f t="shared" ref="Z9:Z22" si="11">D9</f>
        <v>606500</v>
      </c>
      <c r="AA9" s="22">
        <f>AA8*(1+$R$2)-Z9</f>
        <v>5563071.0860108687</v>
      </c>
    </row>
    <row r="10" spans="1:30" x14ac:dyDescent="0.25">
      <c r="A10" s="31">
        <v>40543</v>
      </c>
      <c r="B10" s="8">
        <v>3</v>
      </c>
      <c r="C10" s="19">
        <f>C$7-SUM('Q4 Base'!$M$5:M7)</f>
        <v>12690000</v>
      </c>
      <c r="D10" s="19">
        <f>D$7-SUM('Q4 Base'!$N$5:N7)</f>
        <v>594000</v>
      </c>
      <c r="E10" s="22"/>
      <c r="F10" s="22">
        <f>'Q4 (ii)'!H8</f>
        <v>16652.194668540149</v>
      </c>
      <c r="G10" s="22">
        <f>'Q4 (ii) Alternative'!$I$2*'Q4 (iii) Alternative'!C9</f>
        <v>17475.327545287517</v>
      </c>
      <c r="H10" s="22">
        <f t="shared" si="3"/>
        <v>1962.3325272950908</v>
      </c>
      <c r="I10" s="22">
        <f t="shared" si="0"/>
        <v>0</v>
      </c>
      <c r="J10" s="22">
        <f t="shared" si="1"/>
        <v>24458.279475740594</v>
      </c>
      <c r="K10" s="22">
        <f t="shared" si="4"/>
        <v>11631.575265382162</v>
      </c>
      <c r="L10" s="22">
        <f t="shared" si="5"/>
        <v>-92090.636259485938</v>
      </c>
      <c r="M10" s="22"/>
      <c r="N10" s="22">
        <f t="shared" ref="N10:N22" si="12">Q9</f>
        <v>5342783.501539669</v>
      </c>
      <c r="O10" s="22">
        <f t="shared" si="6"/>
        <v>227068.29881543596</v>
      </c>
      <c r="P10" s="22">
        <f t="shared" si="2"/>
        <v>594000</v>
      </c>
      <c r="Q10" s="22">
        <f>'Q4 (ii) Alternative'!M9</f>
        <v>4918039.192083803</v>
      </c>
      <c r="R10" s="22">
        <f t="shared" si="7"/>
        <v>57812.608271301724</v>
      </c>
      <c r="S10" s="22">
        <f t="shared" si="8"/>
        <v>287462.41508252826</v>
      </c>
      <c r="U10" s="22">
        <f t="shared" si="9"/>
        <v>17475.327545287517</v>
      </c>
      <c r="V10" s="22">
        <f t="shared" si="10"/>
        <v>0</v>
      </c>
      <c r="W10" s="22">
        <f t="shared" ref="W10:W22" si="13">(W9+U10)*(1+$K$2)-V10</f>
        <v>-67632.35678374533</v>
      </c>
      <c r="X10" s="22"/>
      <c r="Z10" s="22">
        <f t="shared" si="11"/>
        <v>594000</v>
      </c>
      <c r="AA10" s="22">
        <f t="shared" ref="AA10:AA22" si="14">AA9*(1+$R$2)-Z10</f>
        <v>5205501.6071663303</v>
      </c>
    </row>
    <row r="11" spans="1:30" x14ac:dyDescent="0.25">
      <c r="A11" s="31">
        <v>40908</v>
      </c>
      <c r="B11" s="8">
        <v>4</v>
      </c>
      <c r="C11" s="19">
        <f>C$7-SUM('Q4 Base'!$M$5:M8)</f>
        <v>12490000</v>
      </c>
      <c r="D11" s="19">
        <f>D$7-SUM('Q4 Base'!$N$5:N8)</f>
        <v>594000</v>
      </c>
      <c r="E11" s="22"/>
      <c r="F11" s="22">
        <f>'Q4 (ii)'!H9</f>
        <v>24458.279475740594</v>
      </c>
      <c r="G11" s="22">
        <f>'Q4 (ii) Alternative'!$I$2*'Q4 (iii) Alternative'!C10</f>
        <v>17475.327545287517</v>
      </c>
      <c r="H11" s="22">
        <f t="shared" si="3"/>
        <v>2411.1824037091164</v>
      </c>
      <c r="I11" s="22">
        <f t="shared" si="0"/>
        <v>205669.63801203136</v>
      </c>
      <c r="J11" s="22">
        <f t="shared" si="1"/>
        <v>31230.255333663139</v>
      </c>
      <c r="K11" s="22">
        <f t="shared" si="4"/>
        <v>-192555.10392095728</v>
      </c>
      <c r="L11" s="22">
        <f t="shared" si="5"/>
        <v>-289940.95176536369</v>
      </c>
      <c r="M11" s="22"/>
      <c r="N11" s="22">
        <f t="shared" si="12"/>
        <v>4918039.192083803</v>
      </c>
      <c r="O11" s="22">
        <f t="shared" si="6"/>
        <v>209016.66566356164</v>
      </c>
      <c r="P11" s="22">
        <f t="shared" si="2"/>
        <v>594000</v>
      </c>
      <c r="Q11" s="22">
        <f>'Q4 (ii) Alternative'!M10</f>
        <v>4592301.5737753874</v>
      </c>
      <c r="R11" s="22">
        <f t="shared" si="7"/>
        <v>-59245.71602802258</v>
      </c>
      <c r="S11" s="22">
        <f t="shared" si="8"/>
        <v>240433.85169551312</v>
      </c>
      <c r="U11" s="22">
        <f t="shared" si="9"/>
        <v>17475.327545287517</v>
      </c>
      <c r="V11" s="22">
        <f t="shared" si="10"/>
        <v>205669.63801203136</v>
      </c>
      <c r="W11" s="22">
        <f t="shared" si="13"/>
        <v>-258710.69643170049</v>
      </c>
      <c r="X11" s="22"/>
      <c r="Z11" s="22">
        <f t="shared" si="11"/>
        <v>594000</v>
      </c>
      <c r="AA11" s="22">
        <f t="shared" si="14"/>
        <v>4832735.4254708989</v>
      </c>
    </row>
    <row r="12" spans="1:30" x14ac:dyDescent="0.25">
      <c r="A12" s="31">
        <v>41274</v>
      </c>
      <c r="B12" s="8">
        <v>5</v>
      </c>
      <c r="C12" s="19">
        <f>C$7-SUM('Q4 Base'!$M$5:M9)</f>
        <v>12490000</v>
      </c>
      <c r="D12" s="19">
        <f>D$7-SUM('Q4 Base'!$N$5:N9)</f>
        <v>564500</v>
      </c>
      <c r="E12" s="22"/>
      <c r="F12" s="22">
        <f>'Q4 (ii)'!H10</f>
        <v>31230.255333663139</v>
      </c>
      <c r="G12" s="22">
        <f>'Q4 (ii) Alternative'!$I$2*'Q4 (iii) Alternative'!C11</f>
        <v>17199.908671445319</v>
      </c>
      <c r="H12" s="22">
        <f t="shared" si="3"/>
        <v>2784.7344302937363</v>
      </c>
      <c r="I12" s="22">
        <f t="shared" si="0"/>
        <v>0</v>
      </c>
      <c r="J12" s="22">
        <f t="shared" si="1"/>
        <v>37704.183666156838</v>
      </c>
      <c r="K12" s="22">
        <f t="shared" si="4"/>
        <v>13510.714769245351</v>
      </c>
      <c r="L12" s="22">
        <f t="shared" si="5"/>
        <v>-293101.84172262676</v>
      </c>
      <c r="M12" s="22"/>
      <c r="N12" s="22">
        <f t="shared" si="12"/>
        <v>4592301.5737753874</v>
      </c>
      <c r="O12" s="22">
        <f t="shared" si="6"/>
        <v>195172.81688545397</v>
      </c>
      <c r="P12" s="22">
        <f t="shared" si="2"/>
        <v>564500</v>
      </c>
      <c r="Q12" s="22">
        <f>'Q4 (ii) Alternative'!M11</f>
        <v>4043885.6599119455</v>
      </c>
      <c r="R12" s="22">
        <f t="shared" si="7"/>
        <v>179088.73074889556</v>
      </c>
      <c r="S12" s="22">
        <f t="shared" si="8"/>
        <v>429741.02114146797</v>
      </c>
      <c r="U12" s="22">
        <f t="shared" si="9"/>
        <v>17199.908671445319</v>
      </c>
      <c r="V12" s="22">
        <f t="shared" si="10"/>
        <v>0</v>
      </c>
      <c r="W12" s="22">
        <f t="shared" si="13"/>
        <v>-255397.65805646987</v>
      </c>
      <c r="X12" s="22"/>
      <c r="Z12" s="22">
        <f t="shared" si="11"/>
        <v>564500</v>
      </c>
      <c r="AA12" s="22">
        <f t="shared" si="14"/>
        <v>4473626.6810534121</v>
      </c>
    </row>
    <row r="13" spans="1:30" x14ac:dyDescent="0.25">
      <c r="A13" s="31">
        <v>41639</v>
      </c>
      <c r="B13" s="8">
        <v>6</v>
      </c>
      <c r="C13" s="19">
        <f>C$7-SUM('Q4 Base'!$M$5:M10)</f>
        <v>12395000</v>
      </c>
      <c r="D13" s="19">
        <f>D$7-SUM('Q4 Base'!$N$5:N10)</f>
        <v>564500</v>
      </c>
      <c r="E13" s="22"/>
      <c r="F13" s="22">
        <f>'Q4 (ii)'!H11</f>
        <v>37704.183666156838</v>
      </c>
      <c r="G13" s="22">
        <f>'Q4 (ii) Alternative'!$I$2*'Q4 (iii) Alternative'!C12</f>
        <v>17199.908671445319</v>
      </c>
      <c r="H13" s="22">
        <f t="shared" si="3"/>
        <v>3156.985309412124</v>
      </c>
      <c r="I13" s="22">
        <f t="shared" si="0"/>
        <v>97693.078055714897</v>
      </c>
      <c r="J13" s="22">
        <f t="shared" si="1"/>
        <v>42959.717986037431</v>
      </c>
      <c r="K13" s="22">
        <f t="shared" si="4"/>
        <v>-82591.718394738054</v>
      </c>
      <c r="L13" s="22">
        <f t="shared" si="5"/>
        <v>-392546.91601641587</v>
      </c>
      <c r="M13" s="22"/>
      <c r="N13" s="22">
        <f t="shared" si="12"/>
        <v>4043885.6599119455</v>
      </c>
      <c r="O13" s="22">
        <f t="shared" si="6"/>
        <v>171865.14054625769</v>
      </c>
      <c r="P13" s="22">
        <f t="shared" si="2"/>
        <v>564500</v>
      </c>
      <c r="Q13" s="22">
        <f>'Q4 (ii) Alternative'!M12</f>
        <v>3712421.9036777443</v>
      </c>
      <c r="R13" s="22">
        <f t="shared" si="7"/>
        <v>-61171.103219541255</v>
      </c>
      <c r="S13" s="22">
        <f t="shared" si="8"/>
        <v>386833.91132043907</v>
      </c>
      <c r="U13" s="22">
        <f t="shared" si="9"/>
        <v>17199.908671445319</v>
      </c>
      <c r="V13" s="22">
        <f t="shared" si="10"/>
        <v>97693.078055714897</v>
      </c>
      <c r="W13" s="22">
        <f t="shared" si="13"/>
        <v>-349587.19803037838</v>
      </c>
      <c r="X13" s="22"/>
      <c r="Z13" s="22">
        <f t="shared" si="11"/>
        <v>564500</v>
      </c>
      <c r="AA13" s="22">
        <f t="shared" si="14"/>
        <v>4099255.8149981825</v>
      </c>
    </row>
    <row r="14" spans="1:30" x14ac:dyDescent="0.25">
      <c r="A14" s="31">
        <v>42004</v>
      </c>
      <c r="B14" s="8">
        <v>7</v>
      </c>
      <c r="C14" s="19">
        <f>C$7-SUM('Q4 Base'!$M$5:M11)</f>
        <v>12395000</v>
      </c>
      <c r="D14" s="19">
        <f>D$7-SUM('Q4 Base'!$N$5:N11)</f>
        <v>552500</v>
      </c>
      <c r="E14" s="22"/>
      <c r="F14" s="22">
        <f>'Q4 (ii)'!H12</f>
        <v>42959.717986037431</v>
      </c>
      <c r="G14" s="22">
        <f>'Q4 (ii) Alternative'!$I$2*'Q4 (iii) Alternative'!C13</f>
        <v>17069.084706370271</v>
      </c>
      <c r="H14" s="22">
        <f t="shared" si="3"/>
        <v>3451.6561548134428</v>
      </c>
      <c r="I14" s="22">
        <f t="shared" si="0"/>
        <v>0</v>
      </c>
      <c r="J14" s="22">
        <f t="shared" si="1"/>
        <v>47390.844889082495</v>
      </c>
      <c r="K14" s="22">
        <f t="shared" si="4"/>
        <v>16089.613958138645</v>
      </c>
      <c r="L14" s="22">
        <f t="shared" si="5"/>
        <v>-399028.74972922122</v>
      </c>
      <c r="M14" s="22"/>
      <c r="N14" s="22">
        <f t="shared" si="12"/>
        <v>3712421.9036777443</v>
      </c>
      <c r="O14" s="22">
        <f t="shared" si="6"/>
        <v>157777.93090630416</v>
      </c>
      <c r="P14" s="22">
        <f t="shared" si="2"/>
        <v>552500</v>
      </c>
      <c r="Q14" s="22">
        <f>'Q4 (ii) Alternative'!M13</f>
        <v>3297716.5108848661</v>
      </c>
      <c r="R14" s="22">
        <f t="shared" si="7"/>
        <v>19983.323699182365</v>
      </c>
      <c r="S14" s="22">
        <f t="shared" si="8"/>
        <v>423257.67625074007</v>
      </c>
      <c r="U14" s="22">
        <f t="shared" si="9"/>
        <v>17069.084706370271</v>
      </c>
      <c r="V14" s="22">
        <f t="shared" si="10"/>
        <v>0</v>
      </c>
      <c r="W14" s="22">
        <f t="shared" si="13"/>
        <v>-351637.90484013862</v>
      </c>
      <c r="X14" s="22"/>
      <c r="Z14" s="22">
        <f t="shared" si="11"/>
        <v>552500</v>
      </c>
      <c r="AA14" s="22">
        <f t="shared" si="14"/>
        <v>3720974.1871356051</v>
      </c>
    </row>
    <row r="15" spans="1:30" x14ac:dyDescent="0.25">
      <c r="A15" s="31">
        <v>42369</v>
      </c>
      <c r="B15" s="8">
        <v>8</v>
      </c>
      <c r="C15" s="19">
        <f>C$7-SUM('Q4 Base'!$M$5:M12)</f>
        <v>12395000</v>
      </c>
      <c r="D15" s="19">
        <f>D$7-SUM('Q4 Base'!$N$5:N12)</f>
        <v>552500</v>
      </c>
      <c r="E15" s="22"/>
      <c r="F15" s="22">
        <f>'Q4 (ii)'!H13</f>
        <v>47390.844889082495</v>
      </c>
      <c r="G15" s="22">
        <f>'Q4 (ii) Alternative'!$I$2*'Q4 (iii) Alternative'!C14</f>
        <v>17069.084706370271</v>
      </c>
      <c r="H15" s="22">
        <f t="shared" si="3"/>
        <v>3706.4459517385339</v>
      </c>
      <c r="I15" s="22">
        <f t="shared" si="0"/>
        <v>0</v>
      </c>
      <c r="J15" s="22">
        <f t="shared" si="1"/>
        <v>50442.853131311917</v>
      </c>
      <c r="K15" s="22">
        <f t="shared" si="4"/>
        <v>17723.522415879386</v>
      </c>
      <c r="L15" s="22">
        <f t="shared" si="5"/>
        <v>-404249.38042277214</v>
      </c>
      <c r="M15" s="22"/>
      <c r="N15" s="22">
        <f t="shared" si="12"/>
        <v>3297716.5108848661</v>
      </c>
      <c r="O15" s="22">
        <f t="shared" si="6"/>
        <v>140152.95171260682</v>
      </c>
      <c r="P15" s="22">
        <f t="shared" si="2"/>
        <v>552500</v>
      </c>
      <c r="Q15" s="22">
        <f>'Q4 (ii) Alternative'!M14</f>
        <v>2949825.9185702479</v>
      </c>
      <c r="R15" s="22">
        <f t="shared" si="7"/>
        <v>-64456.455972774886</v>
      </c>
      <c r="S15" s="22">
        <f t="shared" si="8"/>
        <v>376789.67151862162</v>
      </c>
      <c r="U15" s="22">
        <f t="shared" si="9"/>
        <v>17069.084706370271</v>
      </c>
      <c r="V15" s="22">
        <f t="shared" si="10"/>
        <v>0</v>
      </c>
      <c r="W15" s="22">
        <f t="shared" si="13"/>
        <v>-353806.52729146008</v>
      </c>
      <c r="X15" s="22"/>
      <c r="Z15" s="22">
        <f t="shared" si="11"/>
        <v>552500</v>
      </c>
      <c r="AA15" s="22">
        <f t="shared" si="14"/>
        <v>3326615.5900888685</v>
      </c>
    </row>
    <row r="16" spans="1:30" x14ac:dyDescent="0.25">
      <c r="A16" s="31">
        <v>42735</v>
      </c>
      <c r="B16" s="8">
        <v>9</v>
      </c>
      <c r="C16" s="19">
        <f>C$7-SUM('Q4 Base'!$M$5:M13)</f>
        <v>12395000</v>
      </c>
      <c r="D16" s="19">
        <f>D$7-SUM('Q4 Base'!$N$5:N13)</f>
        <v>532500</v>
      </c>
      <c r="E16" s="22"/>
      <c r="F16" s="22">
        <f>'Q4 (ii)'!H14</f>
        <v>50442.853131311917</v>
      </c>
      <c r="G16" s="22">
        <f>'Q4 (ii) Alternative'!$I$2*'Q4 (iii) Alternative'!C15</f>
        <v>17069.084706370271</v>
      </c>
      <c r="H16" s="22">
        <f t="shared" si="3"/>
        <v>3881.9364256667259</v>
      </c>
      <c r="I16" s="22">
        <f t="shared" si="0"/>
        <v>0</v>
      </c>
      <c r="J16" s="22">
        <f t="shared" si="1"/>
        <v>51806.153274078097</v>
      </c>
      <c r="K16" s="22">
        <f t="shared" si="4"/>
        <v>19587.72098927082</v>
      </c>
      <c r="L16" s="22">
        <f t="shared" si="5"/>
        <v>-407905.99880781077</v>
      </c>
      <c r="M16" s="22"/>
      <c r="N16" s="22">
        <f t="shared" si="12"/>
        <v>2949825.9185702479</v>
      </c>
      <c r="O16" s="22">
        <f t="shared" si="6"/>
        <v>125367.60153923555</v>
      </c>
      <c r="P16" s="22">
        <f t="shared" si="2"/>
        <v>532500</v>
      </c>
      <c r="Q16" s="22">
        <f>'Q4 (ii) Alternative'!M15</f>
        <v>2495046.6308556055</v>
      </c>
      <c r="R16" s="22">
        <f t="shared" si="7"/>
        <v>47646.889253878035</v>
      </c>
      <c r="S16" s="22">
        <f t="shared" si="8"/>
        <v>440450.12181204109</v>
      </c>
      <c r="U16" s="22">
        <f t="shared" si="9"/>
        <v>17069.084706370271</v>
      </c>
      <c r="V16" s="22">
        <f t="shared" si="10"/>
        <v>0</v>
      </c>
      <c r="W16" s="22">
        <f t="shared" si="13"/>
        <v>-356099.8455337325</v>
      </c>
      <c r="X16" s="22"/>
      <c r="Z16" s="22">
        <f t="shared" si="11"/>
        <v>532500</v>
      </c>
      <c r="AA16" s="22">
        <f t="shared" si="14"/>
        <v>2935496.7526676455</v>
      </c>
    </row>
    <row r="17" spans="1:27" x14ac:dyDescent="0.25">
      <c r="A17" s="31">
        <v>43100</v>
      </c>
      <c r="B17" s="8">
        <v>10</v>
      </c>
      <c r="C17" s="19">
        <f>C$7-SUM('Q4 Base'!$M$5:M14)</f>
        <v>12395000</v>
      </c>
      <c r="D17" s="19">
        <f>D$7-SUM('Q4 Base'!$N$5:N14)</f>
        <v>532500</v>
      </c>
      <c r="E17" s="22"/>
      <c r="F17" s="22">
        <f>'Q4 (ii)'!H15</f>
        <v>51806.153274078097</v>
      </c>
      <c r="G17" s="22">
        <f>'Q4 (ii) Alternative'!$I$2*'Q4 (iii) Alternative'!C16</f>
        <v>17069.084706370271</v>
      </c>
      <c r="H17" s="22">
        <f t="shared" si="3"/>
        <v>3960.3261838757812</v>
      </c>
      <c r="I17" s="22">
        <f t="shared" si="0"/>
        <v>0</v>
      </c>
      <c r="J17" s="22">
        <f t="shared" si="1"/>
        <v>51113.971148132317</v>
      </c>
      <c r="K17" s="22">
        <f t="shared" si="4"/>
        <v>21721.593016191822</v>
      </c>
      <c r="L17" s="22">
        <f t="shared" si="5"/>
        <v>-409639.00072306814</v>
      </c>
      <c r="M17" s="22"/>
      <c r="N17" s="22">
        <f t="shared" si="12"/>
        <v>2495046.6308556055</v>
      </c>
      <c r="O17" s="22">
        <f t="shared" si="6"/>
        <v>106039.48181136324</v>
      </c>
      <c r="P17" s="22">
        <f t="shared" si="2"/>
        <v>532500</v>
      </c>
      <c r="Q17" s="22">
        <f>'Q4 (ii) Alternative'!M16</f>
        <v>2132860.754181915</v>
      </c>
      <c r="R17" s="22">
        <f t="shared" si="7"/>
        <v>-64274.641514946241</v>
      </c>
      <c r="S17" s="22">
        <f t="shared" si="8"/>
        <v>394894.61047410656</v>
      </c>
      <c r="U17" s="22">
        <f t="shared" si="9"/>
        <v>17069.084706370271</v>
      </c>
      <c r="V17" s="22">
        <f t="shared" si="10"/>
        <v>0</v>
      </c>
      <c r="W17" s="22">
        <f t="shared" si="13"/>
        <v>-358525.02957493562</v>
      </c>
      <c r="X17" s="22"/>
      <c r="Z17" s="22">
        <f t="shared" si="11"/>
        <v>532500</v>
      </c>
      <c r="AA17" s="22">
        <f t="shared" si="14"/>
        <v>2527755.3646560204</v>
      </c>
    </row>
    <row r="18" spans="1:27" x14ac:dyDescent="0.25">
      <c r="A18" s="31">
        <v>43465</v>
      </c>
      <c r="B18" s="8">
        <v>11</v>
      </c>
      <c r="C18" s="19">
        <f>C$7-SUM('Q4 Base'!$M$5:M15)</f>
        <v>12075000</v>
      </c>
      <c r="D18" s="19">
        <f>D$7-SUM('Q4 Base'!$N$5:N15)</f>
        <v>509500</v>
      </c>
      <c r="E18" s="22"/>
      <c r="F18" s="22">
        <f>'Q4 (ii)'!H16</f>
        <v>51113.971148132317</v>
      </c>
      <c r="G18" s="22">
        <f>'Q4 (ii) Alternative'!$I$2*'Q4 (iii) Alternative'!C17</f>
        <v>17069.084706370271</v>
      </c>
      <c r="H18" s="22">
        <f t="shared" si="3"/>
        <v>3920.5257116338989</v>
      </c>
      <c r="I18" s="22">
        <f t="shared" si="0"/>
        <v>329071.42081925017</v>
      </c>
      <c r="J18" s="22">
        <f t="shared" si="1"/>
        <v>46725.623131980567</v>
      </c>
      <c r="K18" s="22">
        <f t="shared" si="4"/>
        <v>-303693.46238509426</v>
      </c>
      <c r="L18" s="22">
        <f t="shared" si="5"/>
        <v>-736886.7056497389</v>
      </c>
      <c r="M18" s="22"/>
      <c r="N18" s="22">
        <f t="shared" si="12"/>
        <v>2132860.754181915</v>
      </c>
      <c r="O18" s="22">
        <f t="shared" si="6"/>
        <v>90646.582052731392</v>
      </c>
      <c r="P18" s="22">
        <f t="shared" si="2"/>
        <v>509500</v>
      </c>
      <c r="Q18" s="22">
        <f>'Q4 (ii) Alternative'!M17</f>
        <v>1678607.9962330402</v>
      </c>
      <c r="R18" s="22">
        <f t="shared" si="7"/>
        <v>35399.34000160615</v>
      </c>
      <c r="S18" s="22">
        <f t="shared" si="8"/>
        <v>447076.97142086225</v>
      </c>
      <c r="U18" s="22">
        <f t="shared" si="9"/>
        <v>17069.084706370271</v>
      </c>
      <c r="V18" s="22">
        <f t="shared" si="10"/>
        <v>329071.42081925017</v>
      </c>
      <c r="W18" s="22">
        <f t="shared" si="13"/>
        <v>-690161.08251775801</v>
      </c>
      <c r="X18" s="22"/>
      <c r="Z18" s="22">
        <f t="shared" si="11"/>
        <v>509500</v>
      </c>
      <c r="AA18" s="22">
        <f t="shared" si="14"/>
        <v>2125684.9676539013</v>
      </c>
    </row>
    <row r="19" spans="1:27" x14ac:dyDescent="0.25">
      <c r="A19" s="31">
        <v>43830</v>
      </c>
      <c r="B19" s="8">
        <v>12</v>
      </c>
      <c r="C19" s="19">
        <f>C$7-SUM('Q4 Base'!$M$5:M16)</f>
        <v>11955000</v>
      </c>
      <c r="D19" s="19">
        <f>D$7-SUM('Q4 Base'!$N$5:N16)</f>
        <v>501500</v>
      </c>
      <c r="E19" s="22"/>
      <c r="F19" s="22">
        <f>'Q4 (ii)'!H17</f>
        <v>46725.623131980567</v>
      </c>
      <c r="G19" s="22">
        <f>'Q4 (ii) Alternative'!$I$2*'Q4 (iii) Alternative'!C18</f>
        <v>16628.414508222755</v>
      </c>
      <c r="H19" s="22">
        <f t="shared" si="3"/>
        <v>3642.8571643116911</v>
      </c>
      <c r="I19" s="22">
        <f t="shared" si="0"/>
        <v>123401.78280721881</v>
      </c>
      <c r="J19" s="22">
        <f t="shared" si="1"/>
        <v>40390.40180494274</v>
      </c>
      <c r="K19" s="22">
        <f t="shared" si="4"/>
        <v>-96795.289807646535</v>
      </c>
      <c r="L19" s="22">
        <f t="shared" si="5"/>
        <v>-876052.98103224544</v>
      </c>
      <c r="M19" s="22"/>
      <c r="N19" s="22">
        <f t="shared" si="12"/>
        <v>1678607.9962330402</v>
      </c>
      <c r="O19" s="22">
        <f t="shared" si="6"/>
        <v>71340.83983990422</v>
      </c>
      <c r="P19" s="22">
        <f t="shared" si="2"/>
        <v>501500</v>
      </c>
      <c r="Q19" s="22">
        <f>'Q4 (ii) Alternative'!M18</f>
        <v>1277708.9129273463</v>
      </c>
      <c r="R19" s="22">
        <f t="shared" si="7"/>
        <v>-29260.076854401734</v>
      </c>
      <c r="S19" s="22">
        <f t="shared" si="8"/>
        <v>436817.66585184715</v>
      </c>
      <c r="U19" s="22">
        <f t="shared" si="9"/>
        <v>16628.414508222755</v>
      </c>
      <c r="V19" s="22">
        <f t="shared" si="10"/>
        <v>123401.78280721881</v>
      </c>
      <c r="W19" s="22">
        <f t="shared" si="13"/>
        <v>-835662.57922730246</v>
      </c>
      <c r="X19" s="22"/>
      <c r="Z19" s="22">
        <f t="shared" si="11"/>
        <v>501500</v>
      </c>
      <c r="AA19" s="22">
        <f t="shared" si="14"/>
        <v>1714526.5787791922</v>
      </c>
    </row>
    <row r="20" spans="1:27" x14ac:dyDescent="0.25">
      <c r="A20" s="31">
        <v>44196</v>
      </c>
      <c r="B20" s="8">
        <v>13</v>
      </c>
      <c r="C20" s="19">
        <f>C$7-SUM('Q4 Base'!$M$5:M17)</f>
        <v>11955000</v>
      </c>
      <c r="D20" s="19">
        <f>D$7-SUM('Q4 Base'!$N$5:N17)</f>
        <v>478500</v>
      </c>
      <c r="E20" s="22"/>
      <c r="F20" s="22">
        <f>'Q4 (ii)'!H18</f>
        <v>40390.40180494274</v>
      </c>
      <c r="G20" s="22">
        <f>'Q4 (ii) Alternative'!$I$2*'Q4 (iii) Alternative'!C19</f>
        <v>16463.163183917437</v>
      </c>
      <c r="H20" s="22">
        <f t="shared" si="3"/>
        <v>3269.0799868594604</v>
      </c>
      <c r="I20" s="22">
        <f t="shared" si="0"/>
        <v>0</v>
      </c>
      <c r="J20" s="22">
        <f t="shared" si="1"/>
        <v>31145.750511622831</v>
      </c>
      <c r="K20" s="22">
        <f t="shared" si="4"/>
        <v>28976.894464096807</v>
      </c>
      <c r="L20" s="22">
        <f t="shared" si="5"/>
        <v>-897449.13297750289</v>
      </c>
      <c r="M20" s="22"/>
      <c r="N20" s="22">
        <f t="shared" si="12"/>
        <v>1277708.9129273463</v>
      </c>
      <c r="O20" s="22">
        <f t="shared" si="6"/>
        <v>54302.628799412225</v>
      </c>
      <c r="P20" s="22">
        <f t="shared" si="2"/>
        <v>478500</v>
      </c>
      <c r="Q20" s="22">
        <f>'Q4 (ii) Alternative'!M19</f>
        <v>840846.65466695558</v>
      </c>
      <c r="R20" s="22">
        <f t="shared" si="7"/>
        <v>12664.887059802888</v>
      </c>
      <c r="S20" s="22">
        <f t="shared" si="8"/>
        <v>468047.30371035356</v>
      </c>
      <c r="U20" s="22">
        <f t="shared" si="9"/>
        <v>16463.163183917437</v>
      </c>
      <c r="V20" s="22">
        <f t="shared" si="10"/>
        <v>0</v>
      </c>
      <c r="W20" s="22">
        <f t="shared" si="13"/>
        <v>-866303.38246587978</v>
      </c>
      <c r="X20" s="22"/>
      <c r="Z20" s="22">
        <f t="shared" si="11"/>
        <v>478500</v>
      </c>
      <c r="AA20" s="22">
        <f t="shared" si="14"/>
        <v>1308893.9583773077</v>
      </c>
    </row>
    <row r="21" spans="1:27" x14ac:dyDescent="0.25">
      <c r="A21" s="31">
        <v>44561</v>
      </c>
      <c r="B21" s="8">
        <v>14</v>
      </c>
      <c r="C21" s="19">
        <f>C$7-SUM('Q4 Base'!$M$5:M18)</f>
        <v>11765000</v>
      </c>
      <c r="D21" s="19">
        <f>D$7-SUM('Q4 Base'!$N$5:N18)</f>
        <v>447500</v>
      </c>
      <c r="E21" s="22"/>
      <c r="F21" s="22">
        <f>'Q4 (ii)'!H19</f>
        <v>31145.750511622831</v>
      </c>
      <c r="G21" s="22">
        <f>'Q4 (ii) Alternative'!$I$2*'Q4 (iii) Alternative'!C20</f>
        <v>16463.163183917437</v>
      </c>
      <c r="H21" s="22">
        <f t="shared" si="3"/>
        <v>2737.5125374935656</v>
      </c>
      <c r="I21" s="22">
        <f t="shared" si="0"/>
        <v>195386.15611142979</v>
      </c>
      <c r="J21" s="22">
        <f t="shared" si="1"/>
        <v>17628.568113195066</v>
      </c>
      <c r="K21" s="22">
        <f t="shared" si="4"/>
        <v>-162668.29799159104</v>
      </c>
      <c r="L21" s="22">
        <f t="shared" si="5"/>
        <v>-1111720.7561153006</v>
      </c>
      <c r="M21" s="22"/>
      <c r="N21" s="22">
        <f t="shared" si="12"/>
        <v>840846.65466695558</v>
      </c>
      <c r="O21" s="22">
        <f t="shared" si="6"/>
        <v>35735.982823345614</v>
      </c>
      <c r="P21" s="22">
        <f t="shared" si="2"/>
        <v>447500</v>
      </c>
      <c r="Q21" s="22">
        <f>'Q4 (ii) Alternative'!M20</f>
        <v>408432.67050359712</v>
      </c>
      <c r="R21" s="22">
        <f t="shared" si="7"/>
        <v>20649.966986704036</v>
      </c>
      <c r="S21" s="22">
        <f t="shared" si="8"/>
        <v>508589.28110474761</v>
      </c>
      <c r="U21" s="22">
        <f t="shared" si="9"/>
        <v>16463.163183917437</v>
      </c>
      <c r="V21" s="22">
        <f t="shared" si="10"/>
        <v>195386.15611142979</v>
      </c>
      <c r="W21" s="22">
        <f t="shared" si="13"/>
        <v>-1094092.1880021051</v>
      </c>
      <c r="X21" s="22"/>
      <c r="Z21" s="22">
        <f t="shared" si="11"/>
        <v>447500</v>
      </c>
      <c r="AA21" s="22">
        <f t="shared" si="14"/>
        <v>917021.95160834328</v>
      </c>
    </row>
    <row r="22" spans="1:27" x14ac:dyDescent="0.25">
      <c r="A22" s="31">
        <v>44926</v>
      </c>
      <c r="B22" s="8">
        <v>15</v>
      </c>
      <c r="C22" s="19">
        <f>C$7-SUM('Q4 Base'!$M$5:M19)</f>
        <v>11765000</v>
      </c>
      <c r="D22" s="19">
        <f>D$7-SUM('Q4 Base'!$N$5:N19)</f>
        <v>447500</v>
      </c>
      <c r="E22" s="22"/>
      <c r="F22" s="22">
        <f>'Q4 (ii)'!H20</f>
        <v>17628.568113195066</v>
      </c>
      <c r="G22" s="22">
        <f>'Q4 (ii) Alternative'!$I$2*'Q4 (iii) Alternative'!C21</f>
        <v>16201.515253767346</v>
      </c>
      <c r="H22" s="22">
        <f t="shared" si="3"/>
        <v>1945.2297936003388</v>
      </c>
      <c r="I22" s="22">
        <f t="shared" si="0"/>
        <v>0</v>
      </c>
      <c r="J22" s="22">
        <f t="shared" si="1"/>
        <v>0</v>
      </c>
      <c r="K22" s="22">
        <f t="shared" si="4"/>
        <v>35775.31316056275</v>
      </c>
      <c r="L22" s="22">
        <f t="shared" si="5"/>
        <v>-1139869.3864313678</v>
      </c>
      <c r="M22" s="22"/>
      <c r="N22" s="22">
        <f t="shared" si="12"/>
        <v>408432.67050359712</v>
      </c>
      <c r="O22" s="22">
        <f t="shared" si="6"/>
        <v>17358.38849640288</v>
      </c>
      <c r="P22" s="22">
        <f t="shared" si="2"/>
        <v>447500</v>
      </c>
      <c r="Q22" s="22">
        <f>'Q4 (ii) Alternative'!M21</f>
        <v>0</v>
      </c>
      <c r="R22" s="22">
        <f t="shared" si="7"/>
        <v>-21708.940999999992</v>
      </c>
      <c r="S22" s="22">
        <f t="shared" si="8"/>
        <v>508495.38455169939</v>
      </c>
      <c r="U22" s="22">
        <f t="shared" si="9"/>
        <v>16201.515253767346</v>
      </c>
      <c r="V22" s="22">
        <f t="shared" si="10"/>
        <v>0</v>
      </c>
      <c r="W22" s="22">
        <f t="shared" si="13"/>
        <v>-1139869.3864313674</v>
      </c>
      <c r="X22" s="22"/>
      <c r="Z22" s="22">
        <f t="shared" si="11"/>
        <v>447500</v>
      </c>
      <c r="AA22" s="22">
        <f t="shared" si="14"/>
        <v>508495.38455169788</v>
      </c>
    </row>
    <row r="23" spans="1:27" x14ac:dyDescent="0.25">
      <c r="A23" s="31"/>
      <c r="C23" s="22"/>
      <c r="D23" s="22"/>
      <c r="E23" s="22"/>
      <c r="F23" s="22"/>
      <c r="G23" s="22"/>
      <c r="H23" s="22"/>
      <c r="I23" s="22"/>
      <c r="J23" s="22"/>
      <c r="M23" s="22"/>
      <c r="N23" s="22"/>
      <c r="O23" s="22"/>
    </row>
    <row r="24" spans="1:27" x14ac:dyDescent="0.25">
      <c r="K24" s="22">
        <f>SUM(K8:K22)</f>
        <v>-765450.9557534362</v>
      </c>
      <c r="L24" s="22"/>
      <c r="P24" s="22">
        <f>SUM(P8:P22)</f>
        <v>8107500</v>
      </c>
      <c r="Q24" s="22">
        <f>SUM(Q8:Q22)</f>
        <v>43557699.267119229</v>
      </c>
      <c r="R24" s="22">
        <f>SUM(R8:R22)</f>
        <v>291256.0183833777</v>
      </c>
      <c r="S24" s="61">
        <f>L22+S22</f>
        <v>-631374.00187966845</v>
      </c>
      <c r="T24" s="1" t="s">
        <v>179</v>
      </c>
      <c r="U24" s="1"/>
      <c r="V24" s="1"/>
      <c r="W24" s="68">
        <f>W22+AA22</f>
        <v>-631374.00187966949</v>
      </c>
      <c r="X24" s="1"/>
      <c r="Y24" s="1"/>
      <c r="Z24" s="22"/>
    </row>
    <row r="25" spans="1:27" x14ac:dyDescent="0.25">
      <c r="S25" s="6" t="s">
        <v>10</v>
      </c>
    </row>
  </sheetData>
  <mergeCells count="6">
    <mergeCell ref="C5:D5"/>
    <mergeCell ref="F6:L6"/>
    <mergeCell ref="N6:S6"/>
    <mergeCell ref="U2:AA2"/>
    <mergeCell ref="U6:W6"/>
    <mergeCell ref="Y6:AA6"/>
  </mergeCells>
  <printOptions gridLines="1" gridLinesSet="0"/>
  <pageMargins left="0.7" right="0.7" top="0.75" bottom="0.75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8"/>
  <sheetViews>
    <sheetView workbookViewId="0">
      <selection activeCell="K11" sqref="K11"/>
    </sheetView>
  </sheetViews>
  <sheetFormatPr defaultRowHeight="15" x14ac:dyDescent="0.25"/>
  <cols>
    <col min="11" max="11" width="9.140625" style="6"/>
  </cols>
  <sheetData>
    <row r="1" spans="1:11" x14ac:dyDescent="0.25">
      <c r="A1" t="s">
        <v>189</v>
      </c>
      <c r="K1" s="6" t="s">
        <v>10</v>
      </c>
    </row>
    <row r="2" spans="1:11" x14ac:dyDescent="0.25">
      <c r="A2" t="s">
        <v>190</v>
      </c>
      <c r="K2" s="6" t="s">
        <v>10</v>
      </c>
    </row>
    <row r="4" spans="1:11" x14ac:dyDescent="0.25">
      <c r="A4" t="s">
        <v>191</v>
      </c>
      <c r="K4" s="6" t="s">
        <v>10</v>
      </c>
    </row>
    <row r="5" spans="1:11" x14ac:dyDescent="0.25">
      <c r="A5" t="s">
        <v>192</v>
      </c>
      <c r="K5" s="6" t="s">
        <v>10</v>
      </c>
    </row>
    <row r="7" spans="1:11" x14ac:dyDescent="0.25">
      <c r="A7" t="s">
        <v>193</v>
      </c>
      <c r="K7" s="6" t="s">
        <v>10</v>
      </c>
    </row>
    <row r="9" spans="1:11" x14ac:dyDescent="0.25">
      <c r="A9" t="s">
        <v>194</v>
      </c>
    </row>
    <row r="10" spans="1:11" x14ac:dyDescent="0.25">
      <c r="A10" t="s">
        <v>195</v>
      </c>
      <c r="K10" s="6" t="s">
        <v>10</v>
      </c>
    </row>
    <row r="12" spans="1:11" x14ac:dyDescent="0.25">
      <c r="A12" t="s">
        <v>196</v>
      </c>
    </row>
    <row r="13" spans="1:11" x14ac:dyDescent="0.25">
      <c r="A13" t="s">
        <v>197</v>
      </c>
      <c r="K13" s="6" t="s">
        <v>10</v>
      </c>
    </row>
    <row r="14" spans="1:11" x14ac:dyDescent="0.25">
      <c r="A14" t="s">
        <v>198</v>
      </c>
      <c r="K14" s="6" t="s">
        <v>10</v>
      </c>
    </row>
    <row r="15" spans="1:11" x14ac:dyDescent="0.25">
      <c r="A15" t="s">
        <v>199</v>
      </c>
    </row>
    <row r="16" spans="1:11" x14ac:dyDescent="0.25">
      <c r="A16" t="s">
        <v>200</v>
      </c>
      <c r="K16" s="6" t="s">
        <v>10</v>
      </c>
    </row>
    <row r="18" spans="10:11" x14ac:dyDescent="0.25">
      <c r="J18" s="34"/>
      <c r="K18" s="6" t="s">
        <v>201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4"/>
  <sheetViews>
    <sheetView workbookViewId="0">
      <selection activeCell="C26" sqref="C26"/>
    </sheetView>
  </sheetViews>
  <sheetFormatPr defaultRowHeight="15" x14ac:dyDescent="0.25"/>
  <cols>
    <col min="1" max="1" width="12" bestFit="1" customWidth="1"/>
    <col min="2" max="2" width="11.7109375" bestFit="1" customWidth="1"/>
    <col min="3" max="3" width="13.28515625" bestFit="1" customWidth="1"/>
    <col min="4" max="4" width="10.42578125" bestFit="1" customWidth="1"/>
  </cols>
  <sheetData>
    <row r="1" spans="1:3" x14ac:dyDescent="0.25">
      <c r="A1" t="s">
        <v>27</v>
      </c>
      <c r="B1" t="s">
        <v>121</v>
      </c>
      <c r="C1" s="22">
        <f>'Q4 (i)'!I7</f>
        <v>17626.807925900728</v>
      </c>
    </row>
    <row r="2" spans="1:3" x14ac:dyDescent="0.25">
      <c r="B2" t="s">
        <v>122</v>
      </c>
      <c r="C2" s="22">
        <f>'Q4 (i)'!R7</f>
        <v>6280627.1458329102</v>
      </c>
    </row>
    <row r="5" spans="1:3" x14ac:dyDescent="0.25">
      <c r="A5" t="s">
        <v>45</v>
      </c>
      <c r="B5" s="74" t="s">
        <v>160</v>
      </c>
      <c r="C5" s="74"/>
    </row>
    <row r="6" spans="1:3" x14ac:dyDescent="0.25">
      <c r="A6" s="9" t="s">
        <v>202</v>
      </c>
      <c r="B6" s="9" t="s">
        <v>121</v>
      </c>
      <c r="C6" s="9" t="s">
        <v>122</v>
      </c>
    </row>
    <row r="7" spans="1:3" x14ac:dyDescent="0.25">
      <c r="A7" s="8">
        <v>1</v>
      </c>
      <c r="B7" s="22">
        <f>'Q4 (ii)'!H7</f>
        <v>8451.4090817225224</v>
      </c>
      <c r="C7" s="22">
        <f>'Q4 (ii)'!J7</f>
        <v>5867221.3873071196</v>
      </c>
    </row>
    <row r="8" spans="1:3" x14ac:dyDescent="0.25">
      <c r="A8" s="8">
        <v>2</v>
      </c>
      <c r="B8" s="22">
        <f>'Q4 (ii)'!H8</f>
        <v>16652.194668540149</v>
      </c>
      <c r="C8" s="22">
        <f>'Q4 (ii)'!J8</f>
        <v>5342783.501539669</v>
      </c>
    </row>
    <row r="9" spans="1:3" x14ac:dyDescent="0.25">
      <c r="A9" s="8">
        <v>3</v>
      </c>
      <c r="B9" s="22">
        <f>'Q4 (ii)'!H9</f>
        <v>24458.279475740594</v>
      </c>
      <c r="C9" s="22">
        <f>'Q4 (ii)'!J9</f>
        <v>4918039.1920838021</v>
      </c>
    </row>
    <row r="10" spans="1:3" x14ac:dyDescent="0.25">
      <c r="A10" s="8">
        <v>4</v>
      </c>
      <c r="B10" s="22">
        <f>'Q4 (ii)'!H10</f>
        <v>31230.255333663139</v>
      </c>
      <c r="C10" s="22">
        <f>'Q4 (ii)'!J10</f>
        <v>4592301.5737753874</v>
      </c>
    </row>
    <row r="11" spans="1:3" x14ac:dyDescent="0.25">
      <c r="A11" s="8">
        <v>5</v>
      </c>
      <c r="B11" s="22">
        <f>'Q4 (ii)'!H11</f>
        <v>37704.183666156838</v>
      </c>
      <c r="C11" s="22">
        <f>'Q4 (ii)'!J11</f>
        <v>4043885.6599119459</v>
      </c>
    </row>
    <row r="12" spans="1:3" x14ac:dyDescent="0.25">
      <c r="A12" s="8">
        <v>6</v>
      </c>
      <c r="B12" s="22">
        <f>'Q4 (ii)'!H12</f>
        <v>42959.717986037431</v>
      </c>
      <c r="C12" s="22">
        <f>'Q4 (ii)'!J12</f>
        <v>3712421.9036777453</v>
      </c>
    </row>
    <row r="13" spans="1:3" x14ac:dyDescent="0.25">
      <c r="A13" s="8">
        <v>7</v>
      </c>
      <c r="B13" s="22">
        <f>'Q4 (ii)'!H13</f>
        <v>47390.844889082495</v>
      </c>
      <c r="C13" s="22">
        <f>'Q4 (ii)'!J13</f>
        <v>3297716.5108848666</v>
      </c>
    </row>
    <row r="14" spans="1:3" x14ac:dyDescent="0.25">
      <c r="A14" s="8">
        <v>8</v>
      </c>
      <c r="B14" s="22">
        <f>'Q4 (ii)'!H14</f>
        <v>50442.853131311917</v>
      </c>
      <c r="C14" s="22">
        <f>'Q4 (ii)'!J14</f>
        <v>2949825.9185702489</v>
      </c>
    </row>
    <row r="15" spans="1:3" x14ac:dyDescent="0.25">
      <c r="A15" s="8">
        <v>9</v>
      </c>
      <c r="B15" s="22">
        <f>'Q4 (ii)'!H15</f>
        <v>51806.153274078097</v>
      </c>
      <c r="C15" s="22">
        <f>'Q4 (ii)'!J15</f>
        <v>2495046.6308556059</v>
      </c>
    </row>
    <row r="16" spans="1:3" x14ac:dyDescent="0.25">
      <c r="A16" s="8">
        <v>10</v>
      </c>
      <c r="B16" s="22">
        <f>'Q4 (ii)'!H16</f>
        <v>51113.971148132317</v>
      </c>
      <c r="C16" s="22">
        <f>'Q4 (ii)'!J16</f>
        <v>2132860.7541819145</v>
      </c>
    </row>
    <row r="17" spans="1:10" x14ac:dyDescent="0.25">
      <c r="A17" s="8">
        <v>11</v>
      </c>
      <c r="B17" s="22">
        <f>'Q4 (ii)'!H17</f>
        <v>46725.623131980567</v>
      </c>
      <c r="C17" s="22">
        <f>'Q4 (ii)'!J17</f>
        <v>1678607.9962330409</v>
      </c>
    </row>
    <row r="18" spans="1:10" x14ac:dyDescent="0.25">
      <c r="A18" s="8">
        <v>12</v>
      </c>
      <c r="B18" s="22">
        <f>'Q4 (ii)'!H18</f>
        <v>40390.40180494274</v>
      </c>
      <c r="C18" s="22">
        <f>'Q4 (ii)'!J18</f>
        <v>1277708.9129273465</v>
      </c>
    </row>
    <row r="19" spans="1:10" x14ac:dyDescent="0.25">
      <c r="A19" s="8">
        <v>13</v>
      </c>
      <c r="B19" s="22">
        <f>'Q4 (ii)'!H19</f>
        <v>31145.750511622831</v>
      </c>
      <c r="C19" s="22">
        <f>'Q4 (ii)'!J19</f>
        <v>840846.6546669557</v>
      </c>
    </row>
    <row r="20" spans="1:10" x14ac:dyDescent="0.25">
      <c r="A20" s="8">
        <v>14</v>
      </c>
      <c r="B20" s="22">
        <f>'Q4 (ii)'!H20</f>
        <v>17628.568113195066</v>
      </c>
      <c r="C20" s="22">
        <f>'Q4 (ii)'!J20</f>
        <v>408432.67050359701</v>
      </c>
    </row>
    <row r="21" spans="1:10" x14ac:dyDescent="0.25">
      <c r="A21" s="8">
        <v>15</v>
      </c>
      <c r="B21" s="22">
        <f>'Q4 (ii)'!H21</f>
        <v>0</v>
      </c>
      <c r="C21" s="22">
        <f>'Q4 (ii)'!J21</f>
        <v>0</v>
      </c>
    </row>
    <row r="24" spans="1:10" x14ac:dyDescent="0.25">
      <c r="A24" t="s">
        <v>28</v>
      </c>
      <c r="B24" s="1" t="s">
        <v>203</v>
      </c>
      <c r="C24" s="1"/>
      <c r="D24" s="1"/>
    </row>
    <row r="25" spans="1:10" x14ac:dyDescent="0.25">
      <c r="A25" s="9" t="s">
        <v>121</v>
      </c>
      <c r="B25" s="9" t="s">
        <v>122</v>
      </c>
      <c r="C25" t="s">
        <v>42</v>
      </c>
    </row>
    <row r="26" spans="1:10" x14ac:dyDescent="0.25">
      <c r="A26" s="22">
        <f>'Q4 (iii)'!K22</f>
        <v>-1139869.3864313655</v>
      </c>
      <c r="B26" s="22">
        <f>'Q4 (iii)'!R22</f>
        <v>508495.38455169694</v>
      </c>
      <c r="C26" s="22">
        <f>'Q4 (iii)'!R24</f>
        <v>-631374.00187966856</v>
      </c>
    </row>
    <row r="27" spans="1:10" x14ac:dyDescent="0.25">
      <c r="A27" s="22"/>
      <c r="B27" s="22"/>
      <c r="C27" s="22"/>
    </row>
    <row r="28" spans="1:10" x14ac:dyDescent="0.25">
      <c r="A28" s="22"/>
      <c r="B28" s="22"/>
      <c r="C28" s="22"/>
    </row>
    <row r="29" spans="1:10" x14ac:dyDescent="0.25">
      <c r="A29" s="22" t="s">
        <v>30</v>
      </c>
      <c r="B29" s="22"/>
      <c r="C29" s="22"/>
    </row>
    <row r="30" spans="1:10" x14ac:dyDescent="0.25">
      <c r="A30" t="s">
        <v>189</v>
      </c>
      <c r="J30" s="6"/>
    </row>
    <row r="31" spans="1:10" x14ac:dyDescent="0.25">
      <c r="A31" t="s">
        <v>190</v>
      </c>
      <c r="J31" s="6"/>
    </row>
    <row r="32" spans="1:10" x14ac:dyDescent="0.25">
      <c r="J32" s="6"/>
    </row>
    <row r="33" spans="1:10" x14ac:dyDescent="0.25">
      <c r="A33" t="s">
        <v>191</v>
      </c>
      <c r="J33" s="6"/>
    </row>
    <row r="34" spans="1:10" x14ac:dyDescent="0.25">
      <c r="A34" t="s">
        <v>192</v>
      </c>
      <c r="J34" s="6"/>
    </row>
    <row r="35" spans="1:10" x14ac:dyDescent="0.25">
      <c r="J35" s="6"/>
    </row>
    <row r="36" spans="1:10" x14ac:dyDescent="0.25">
      <c r="A36" t="s">
        <v>193</v>
      </c>
      <c r="J36" s="6"/>
    </row>
    <row r="37" spans="1:10" x14ac:dyDescent="0.25">
      <c r="J37" s="6"/>
    </row>
    <row r="38" spans="1:10" x14ac:dyDescent="0.25">
      <c r="A38" t="s">
        <v>196</v>
      </c>
      <c r="J38" s="6"/>
    </row>
    <row r="39" spans="1:10" x14ac:dyDescent="0.25">
      <c r="A39" t="s">
        <v>197</v>
      </c>
      <c r="J39" s="6"/>
    </row>
    <row r="40" spans="1:10" x14ac:dyDescent="0.25">
      <c r="A40" t="s">
        <v>198</v>
      </c>
      <c r="J40" s="6"/>
    </row>
    <row r="41" spans="1:10" x14ac:dyDescent="0.25">
      <c r="A41" t="s">
        <v>199</v>
      </c>
      <c r="J41" s="6"/>
    </row>
    <row r="42" spans="1:10" x14ac:dyDescent="0.25">
      <c r="A42" t="s">
        <v>200</v>
      </c>
      <c r="J42" s="6"/>
    </row>
    <row r="43" spans="1:10" x14ac:dyDescent="0.25">
      <c r="J43" s="6"/>
    </row>
    <row r="44" spans="1:10" x14ac:dyDescent="0.25">
      <c r="I44" s="34"/>
      <c r="J44" s="6"/>
    </row>
  </sheetData>
  <mergeCells count="1">
    <mergeCell ref="B5:C5"/>
  </mergeCells>
  <printOptions gridLines="1" gridLinesSet="0"/>
  <pageMargins left="0.7" right="0.7" top="0.75" bottom="0.75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77CC-2CA7-48E5-895F-FD503CAA8B3B}">
  <dimension ref="A2:Q259"/>
  <sheetViews>
    <sheetView workbookViewId="0">
      <selection activeCell="J13" sqref="J13"/>
    </sheetView>
  </sheetViews>
  <sheetFormatPr defaultRowHeight="15" x14ac:dyDescent="0.25"/>
  <cols>
    <col min="1" max="1" width="12" bestFit="1" customWidth="1"/>
    <col min="2" max="2" width="8.42578125" bestFit="1" customWidth="1"/>
    <col min="4" max="4" width="14.140625" customWidth="1"/>
    <col min="5" max="5" width="10" customWidth="1"/>
    <col min="9" max="9" width="10.7109375" bestFit="1" customWidth="1"/>
    <col min="11" max="11" width="8.42578125" customWidth="1"/>
    <col min="12" max="12" width="12.85546875" customWidth="1"/>
  </cols>
  <sheetData>
    <row r="2" spans="1:17" x14ac:dyDescent="0.25">
      <c r="A2" s="1" t="s">
        <v>3</v>
      </c>
      <c r="B2" s="2">
        <v>3.7499999999999999E-2</v>
      </c>
      <c r="D2" s="1" t="s">
        <v>4</v>
      </c>
      <c r="F2" s="4">
        <v>0.22</v>
      </c>
      <c r="H2" t="s">
        <v>2</v>
      </c>
    </row>
    <row r="3" spans="1:17" x14ac:dyDescent="0.25">
      <c r="A3" s="1" t="s">
        <v>6</v>
      </c>
      <c r="B3" s="2">
        <v>1.0349999999999999</v>
      </c>
      <c r="D3" s="1" t="s">
        <v>7</v>
      </c>
      <c r="F3" s="4">
        <v>0.27</v>
      </c>
      <c r="H3" t="s">
        <v>5</v>
      </c>
    </row>
    <row r="4" spans="1:17" x14ac:dyDescent="0.25">
      <c r="A4" s="1"/>
      <c r="B4" s="2"/>
      <c r="D4" s="1"/>
      <c r="F4" s="4"/>
      <c r="H4" t="s">
        <v>8</v>
      </c>
      <c r="K4" s="5"/>
      <c r="L4" s="2"/>
    </row>
    <row r="5" spans="1:17" x14ac:dyDescent="0.25">
      <c r="A5" s="1"/>
      <c r="B5" s="2"/>
      <c r="D5" s="1"/>
      <c r="F5" s="4"/>
      <c r="H5" t="s">
        <v>9</v>
      </c>
      <c r="Q5" s="6" t="s">
        <v>1</v>
      </c>
    </row>
    <row r="7" spans="1:17" x14ac:dyDescent="0.25">
      <c r="A7" s="74" t="s">
        <v>17</v>
      </c>
      <c r="B7" s="74"/>
      <c r="C7" s="74"/>
      <c r="D7" s="74"/>
      <c r="E7" s="74"/>
      <c r="F7" s="74"/>
      <c r="G7" s="74"/>
      <c r="I7" s="74" t="s">
        <v>18</v>
      </c>
      <c r="J7" s="74"/>
      <c r="K7" s="74"/>
      <c r="L7" s="74"/>
      <c r="M7" s="74"/>
      <c r="N7" s="74"/>
      <c r="O7" s="74"/>
    </row>
    <row r="8" spans="1:17" x14ac:dyDescent="0.25">
      <c r="A8" s="1"/>
      <c r="B8" s="2"/>
    </row>
    <row r="9" spans="1:17" x14ac:dyDescent="0.25">
      <c r="A9" s="36" t="s">
        <v>19</v>
      </c>
      <c r="B9" s="2">
        <f>IRR(G14:G259)</f>
        <v>2.5055124366870629E-3</v>
      </c>
      <c r="C9" s="37" t="s">
        <v>1</v>
      </c>
      <c r="I9" s="1" t="s">
        <v>0</v>
      </c>
      <c r="J9" s="10">
        <f>XIRR(O14:O95,I14:I95)</f>
        <v>3.04011732339859E-2</v>
      </c>
      <c r="K9" s="37" t="s">
        <v>1</v>
      </c>
    </row>
    <row r="10" spans="1:17" s="6" customFormat="1" x14ac:dyDescent="0.25">
      <c r="A10" s="1" t="s">
        <v>0</v>
      </c>
      <c r="B10" s="2">
        <f>(1+B9)^12-1</f>
        <v>3.0483950224340584E-2</v>
      </c>
      <c r="C10" s="37" t="s">
        <v>1</v>
      </c>
      <c r="D10"/>
      <c r="E10"/>
      <c r="F10"/>
      <c r="G10"/>
      <c r="I10" s="70" t="s">
        <v>20</v>
      </c>
    </row>
    <row r="11" spans="1:17" s="7" customFormat="1" ht="33" customHeight="1" x14ac:dyDescent="0.25">
      <c r="A11" s="1"/>
      <c r="B11" s="2"/>
      <c r="C11"/>
      <c r="D11"/>
      <c r="E11"/>
      <c r="F11"/>
      <c r="G11"/>
    </row>
    <row r="12" spans="1:17" x14ac:dyDescent="0.25">
      <c r="A12" s="6"/>
      <c r="B12" s="6" t="s">
        <v>10</v>
      </c>
      <c r="C12" s="6" t="s">
        <v>1</v>
      </c>
      <c r="D12" s="6" t="s">
        <v>10</v>
      </c>
      <c r="E12" s="6" t="s">
        <v>1</v>
      </c>
      <c r="F12" s="6" t="s">
        <v>1</v>
      </c>
      <c r="G12" s="6" t="s">
        <v>1</v>
      </c>
      <c r="I12" s="6" t="s">
        <v>1</v>
      </c>
      <c r="J12" s="6" t="s">
        <v>10</v>
      </c>
      <c r="K12" s="6" t="s">
        <v>1</v>
      </c>
      <c r="L12" s="6" t="s">
        <v>10</v>
      </c>
      <c r="M12" s="6" t="s">
        <v>1</v>
      </c>
      <c r="N12" s="6" t="s">
        <v>1</v>
      </c>
      <c r="O12" s="6" t="s">
        <v>1</v>
      </c>
    </row>
    <row r="13" spans="1:17" ht="45" x14ac:dyDescent="0.25">
      <c r="A13" s="7" t="s">
        <v>12</v>
      </c>
      <c r="B13" s="7" t="s">
        <v>13</v>
      </c>
      <c r="C13" s="7" t="s">
        <v>3</v>
      </c>
      <c r="D13" s="7" t="s">
        <v>15</v>
      </c>
      <c r="E13" s="7" t="s">
        <v>4</v>
      </c>
      <c r="F13" s="7" t="s">
        <v>7</v>
      </c>
      <c r="G13" s="7" t="s">
        <v>21</v>
      </c>
      <c r="I13" s="7" t="s">
        <v>22</v>
      </c>
      <c r="J13" s="7" t="s">
        <v>13</v>
      </c>
      <c r="K13" s="7" t="s">
        <v>3</v>
      </c>
      <c r="L13" s="7" t="s">
        <v>15</v>
      </c>
      <c r="M13" s="7" t="s">
        <v>4</v>
      </c>
      <c r="N13" s="7" t="s">
        <v>7</v>
      </c>
      <c r="O13" s="7" t="s">
        <v>21</v>
      </c>
    </row>
    <row r="14" spans="1:17" x14ac:dyDescent="0.25">
      <c r="A14" s="35">
        <v>0</v>
      </c>
      <c r="B14">
        <v>100</v>
      </c>
      <c r="G14">
        <f>-B14+C14+D14-E14-F14</f>
        <v>-100</v>
      </c>
      <c r="I14" s="27">
        <v>45170</v>
      </c>
      <c r="J14">
        <v>100</v>
      </c>
      <c r="O14">
        <f>-J14+K14+L14-M14-N14</f>
        <v>-100</v>
      </c>
    </row>
    <row r="15" spans="1:17" x14ac:dyDescent="0.25">
      <c r="A15" s="35">
        <v>8.3333333333333329E-2</v>
      </c>
      <c r="G15">
        <f t="shared" ref="G15:G78" si="0">-B15+C15+D15-E15-F15</f>
        <v>0</v>
      </c>
      <c r="I15" s="27">
        <v>45382</v>
      </c>
      <c r="K15">
        <f>$B$2/2*$B$14</f>
        <v>1.875</v>
      </c>
      <c r="M15">
        <f>K14*$F$2</f>
        <v>0</v>
      </c>
      <c r="O15">
        <f t="shared" ref="O15:O78" si="1">-J15+K15+L15-M15-N15</f>
        <v>1.875</v>
      </c>
    </row>
    <row r="16" spans="1:17" x14ac:dyDescent="0.25">
      <c r="A16" s="35">
        <v>0.16666666666666666</v>
      </c>
      <c r="G16">
        <f t="shared" si="0"/>
        <v>0</v>
      </c>
      <c r="I16" s="27">
        <v>45473</v>
      </c>
      <c r="M16">
        <f t="shared" ref="M16:M79" si="2">K15*$F$2</f>
        <v>0.41249999999999998</v>
      </c>
      <c r="O16">
        <f t="shared" si="1"/>
        <v>-0.41249999999999998</v>
      </c>
    </row>
    <row r="17" spans="1:15" x14ac:dyDescent="0.25">
      <c r="A17" s="35">
        <v>0.25</v>
      </c>
      <c r="E17">
        <f>C14*$F$2</f>
        <v>0</v>
      </c>
      <c r="G17">
        <f t="shared" si="0"/>
        <v>0</v>
      </c>
      <c r="I17" s="27">
        <v>45565</v>
      </c>
      <c r="K17">
        <f t="shared" ref="K17" si="3">$B$2/2*$B$14</f>
        <v>1.875</v>
      </c>
      <c r="M17">
        <f t="shared" si="2"/>
        <v>0</v>
      </c>
      <c r="N17">
        <f>MAX(L15-$B$14,0)*$F$3</f>
        <v>0</v>
      </c>
      <c r="O17">
        <f t="shared" si="1"/>
        <v>1.875</v>
      </c>
    </row>
    <row r="18" spans="1:15" x14ac:dyDescent="0.25">
      <c r="A18" s="35">
        <v>0.33333333333333298</v>
      </c>
      <c r="E18">
        <f t="shared" ref="E18:E54" si="4">C15*$F$2</f>
        <v>0</v>
      </c>
      <c r="G18">
        <f t="shared" si="0"/>
        <v>0</v>
      </c>
      <c r="I18" s="27">
        <v>45657</v>
      </c>
      <c r="M18">
        <f t="shared" si="2"/>
        <v>0.41249999999999998</v>
      </c>
      <c r="N18">
        <f t="shared" ref="N18:N81" si="5">MAX(L16-$B$14,0)*$F$3</f>
        <v>0</v>
      </c>
      <c r="O18">
        <f t="shared" si="1"/>
        <v>-0.41249999999999998</v>
      </c>
    </row>
    <row r="19" spans="1:15" x14ac:dyDescent="0.25">
      <c r="A19" s="35">
        <v>0.41666666666666602</v>
      </c>
      <c r="E19">
        <f t="shared" si="4"/>
        <v>0</v>
      </c>
      <c r="F19">
        <f t="shared" ref="F19:F82" si="6">MAX(D14-$B$14,0)*$F$3</f>
        <v>0</v>
      </c>
      <c r="G19">
        <f t="shared" si="0"/>
        <v>0</v>
      </c>
      <c r="I19" s="27">
        <v>45747</v>
      </c>
      <c r="K19">
        <f t="shared" ref="K19" si="7">$B$2/2*$B$14</f>
        <v>1.875</v>
      </c>
      <c r="M19">
        <f t="shared" si="2"/>
        <v>0</v>
      </c>
      <c r="N19">
        <f t="shared" si="5"/>
        <v>0</v>
      </c>
      <c r="O19">
        <f t="shared" si="1"/>
        <v>1.875</v>
      </c>
    </row>
    <row r="20" spans="1:15" x14ac:dyDescent="0.25">
      <c r="A20" s="35">
        <v>0.5</v>
      </c>
      <c r="C20">
        <f>$B$2/2*$B$14</f>
        <v>1.875</v>
      </c>
      <c r="E20">
        <f t="shared" si="4"/>
        <v>0</v>
      </c>
      <c r="F20">
        <f t="shared" si="6"/>
        <v>0</v>
      </c>
      <c r="G20">
        <f t="shared" si="0"/>
        <v>1.875</v>
      </c>
      <c r="I20" s="27">
        <v>45838</v>
      </c>
      <c r="M20">
        <f t="shared" si="2"/>
        <v>0.41249999999999998</v>
      </c>
      <c r="N20">
        <f t="shared" si="5"/>
        <v>0</v>
      </c>
      <c r="O20">
        <f t="shared" si="1"/>
        <v>-0.41249999999999998</v>
      </c>
    </row>
    <row r="21" spans="1:15" x14ac:dyDescent="0.25">
      <c r="A21" s="35">
        <v>0.58333333333333304</v>
      </c>
      <c r="E21">
        <f t="shared" si="4"/>
        <v>0</v>
      </c>
      <c r="F21">
        <f t="shared" si="6"/>
        <v>0</v>
      </c>
      <c r="G21">
        <f t="shared" si="0"/>
        <v>0</v>
      </c>
      <c r="I21" s="27">
        <v>45930</v>
      </c>
      <c r="K21">
        <f t="shared" ref="K21" si="8">$B$2/2*$B$14</f>
        <v>1.875</v>
      </c>
      <c r="M21">
        <f t="shared" si="2"/>
        <v>0</v>
      </c>
      <c r="N21">
        <f t="shared" si="5"/>
        <v>0</v>
      </c>
      <c r="O21">
        <f t="shared" si="1"/>
        <v>1.875</v>
      </c>
    </row>
    <row r="22" spans="1:15" x14ac:dyDescent="0.25">
      <c r="A22" s="35">
        <v>0.66666666666666596</v>
      </c>
      <c r="E22">
        <f t="shared" si="4"/>
        <v>0</v>
      </c>
      <c r="F22">
        <f t="shared" si="6"/>
        <v>0</v>
      </c>
      <c r="G22">
        <f t="shared" si="0"/>
        <v>0</v>
      </c>
      <c r="I22" s="27">
        <v>46022</v>
      </c>
      <c r="M22">
        <f t="shared" si="2"/>
        <v>0.41249999999999998</v>
      </c>
      <c r="N22">
        <f t="shared" si="5"/>
        <v>0</v>
      </c>
      <c r="O22">
        <f t="shared" si="1"/>
        <v>-0.41249999999999998</v>
      </c>
    </row>
    <row r="23" spans="1:15" x14ac:dyDescent="0.25">
      <c r="A23" s="35">
        <v>0.75</v>
      </c>
      <c r="E23">
        <f t="shared" si="4"/>
        <v>0.41249999999999998</v>
      </c>
      <c r="F23">
        <f t="shared" si="6"/>
        <v>0</v>
      </c>
      <c r="G23">
        <f t="shared" si="0"/>
        <v>-0.41249999999999998</v>
      </c>
      <c r="I23" s="27">
        <v>46112</v>
      </c>
      <c r="K23">
        <f t="shared" ref="K23" si="9">$B$2/2*$B$14</f>
        <v>1.875</v>
      </c>
      <c r="M23">
        <f t="shared" si="2"/>
        <v>0</v>
      </c>
      <c r="N23">
        <f t="shared" si="5"/>
        <v>0</v>
      </c>
      <c r="O23">
        <f t="shared" si="1"/>
        <v>1.875</v>
      </c>
    </row>
    <row r="24" spans="1:15" x14ac:dyDescent="0.25">
      <c r="A24" s="35">
        <v>0.83333333333333304</v>
      </c>
      <c r="E24">
        <f t="shared" si="4"/>
        <v>0</v>
      </c>
      <c r="F24">
        <f t="shared" si="6"/>
        <v>0</v>
      </c>
      <c r="G24">
        <f t="shared" si="0"/>
        <v>0</v>
      </c>
      <c r="I24" s="27">
        <v>46203</v>
      </c>
      <c r="M24">
        <f t="shared" si="2"/>
        <v>0.41249999999999998</v>
      </c>
      <c r="N24">
        <f t="shared" si="5"/>
        <v>0</v>
      </c>
      <c r="O24">
        <f t="shared" si="1"/>
        <v>-0.41249999999999998</v>
      </c>
    </row>
    <row r="25" spans="1:15" x14ac:dyDescent="0.25">
      <c r="A25" s="35">
        <v>0.91666666666666596</v>
      </c>
      <c r="E25">
        <f t="shared" si="4"/>
        <v>0</v>
      </c>
      <c r="F25">
        <f t="shared" si="6"/>
        <v>0</v>
      </c>
      <c r="G25">
        <f t="shared" si="0"/>
        <v>0</v>
      </c>
      <c r="I25" s="27">
        <v>46295</v>
      </c>
      <c r="K25">
        <f t="shared" ref="K25" si="10">$B$2/2*$B$14</f>
        <v>1.875</v>
      </c>
      <c r="M25">
        <f t="shared" si="2"/>
        <v>0</v>
      </c>
      <c r="N25">
        <f t="shared" si="5"/>
        <v>0</v>
      </c>
      <c r="O25">
        <f t="shared" si="1"/>
        <v>1.875</v>
      </c>
    </row>
    <row r="26" spans="1:15" x14ac:dyDescent="0.25">
      <c r="A26" s="35">
        <v>1</v>
      </c>
      <c r="C26">
        <f>$B$2/2*$B$14</f>
        <v>1.875</v>
      </c>
      <c r="E26">
        <f t="shared" si="4"/>
        <v>0</v>
      </c>
      <c r="F26">
        <f t="shared" si="6"/>
        <v>0</v>
      </c>
      <c r="G26">
        <f t="shared" si="0"/>
        <v>1.875</v>
      </c>
      <c r="I26" s="27">
        <v>46387</v>
      </c>
      <c r="M26">
        <f t="shared" si="2"/>
        <v>0.41249999999999998</v>
      </c>
      <c r="N26">
        <f t="shared" si="5"/>
        <v>0</v>
      </c>
      <c r="O26">
        <f t="shared" si="1"/>
        <v>-0.41249999999999998</v>
      </c>
    </row>
    <row r="27" spans="1:15" x14ac:dyDescent="0.25">
      <c r="A27" s="35">
        <v>1.0833333333333299</v>
      </c>
      <c r="E27">
        <f t="shared" si="4"/>
        <v>0</v>
      </c>
      <c r="F27">
        <f t="shared" si="6"/>
        <v>0</v>
      </c>
      <c r="G27">
        <f t="shared" si="0"/>
        <v>0</v>
      </c>
      <c r="I27" s="27">
        <v>46477</v>
      </c>
      <c r="K27">
        <f t="shared" ref="K27" si="11">$B$2/2*$B$14</f>
        <v>1.875</v>
      </c>
      <c r="M27">
        <f t="shared" si="2"/>
        <v>0</v>
      </c>
      <c r="N27">
        <f t="shared" si="5"/>
        <v>0</v>
      </c>
      <c r="O27">
        <f t="shared" si="1"/>
        <v>1.875</v>
      </c>
    </row>
    <row r="28" spans="1:15" x14ac:dyDescent="0.25">
      <c r="A28" s="35">
        <v>1.1666666666666601</v>
      </c>
      <c r="E28">
        <f t="shared" si="4"/>
        <v>0</v>
      </c>
      <c r="F28">
        <f t="shared" si="6"/>
        <v>0</v>
      </c>
      <c r="G28">
        <f t="shared" si="0"/>
        <v>0</v>
      </c>
      <c r="I28" s="27">
        <v>46568</v>
      </c>
      <c r="M28">
        <f t="shared" si="2"/>
        <v>0.41249999999999998</v>
      </c>
      <c r="N28">
        <f t="shared" si="5"/>
        <v>0</v>
      </c>
      <c r="O28">
        <f t="shared" si="1"/>
        <v>-0.41249999999999998</v>
      </c>
    </row>
    <row r="29" spans="1:15" x14ac:dyDescent="0.25">
      <c r="A29" s="35">
        <v>1.25</v>
      </c>
      <c r="E29">
        <f t="shared" si="4"/>
        <v>0.41249999999999998</v>
      </c>
      <c r="F29">
        <f t="shared" si="6"/>
        <v>0</v>
      </c>
      <c r="G29">
        <f t="shared" si="0"/>
        <v>-0.41249999999999998</v>
      </c>
      <c r="I29" s="27">
        <v>46660</v>
      </c>
      <c r="K29">
        <f t="shared" ref="K29" si="12">$B$2/2*$B$14</f>
        <v>1.875</v>
      </c>
      <c r="M29">
        <f t="shared" si="2"/>
        <v>0</v>
      </c>
      <c r="N29">
        <f t="shared" si="5"/>
        <v>0</v>
      </c>
      <c r="O29">
        <f t="shared" si="1"/>
        <v>1.875</v>
      </c>
    </row>
    <row r="30" spans="1:15" x14ac:dyDescent="0.25">
      <c r="A30" s="35">
        <v>1.3333333333333299</v>
      </c>
      <c r="E30">
        <f t="shared" si="4"/>
        <v>0</v>
      </c>
      <c r="F30">
        <f t="shared" si="6"/>
        <v>0</v>
      </c>
      <c r="G30">
        <f t="shared" si="0"/>
        <v>0</v>
      </c>
      <c r="I30" s="27">
        <v>46752</v>
      </c>
      <c r="M30">
        <f t="shared" si="2"/>
        <v>0.41249999999999998</v>
      </c>
      <c r="N30">
        <f t="shared" si="5"/>
        <v>0</v>
      </c>
      <c r="O30">
        <f t="shared" si="1"/>
        <v>-0.41249999999999998</v>
      </c>
    </row>
    <row r="31" spans="1:15" x14ac:dyDescent="0.25">
      <c r="A31" s="35">
        <v>1.4166666666666601</v>
      </c>
      <c r="E31">
        <f t="shared" si="4"/>
        <v>0</v>
      </c>
      <c r="F31">
        <f t="shared" si="6"/>
        <v>0</v>
      </c>
      <c r="G31">
        <f t="shared" si="0"/>
        <v>0</v>
      </c>
      <c r="I31" s="27">
        <v>46843</v>
      </c>
      <c r="K31">
        <f t="shared" ref="K31" si="13">$B$2/2*$B$14</f>
        <v>1.875</v>
      </c>
      <c r="M31">
        <f t="shared" si="2"/>
        <v>0</v>
      </c>
      <c r="N31">
        <f t="shared" si="5"/>
        <v>0</v>
      </c>
      <c r="O31">
        <f t="shared" si="1"/>
        <v>1.875</v>
      </c>
    </row>
    <row r="32" spans="1:15" x14ac:dyDescent="0.25">
      <c r="A32" s="35">
        <v>1.5</v>
      </c>
      <c r="C32">
        <f>$B$2/2*$B$14</f>
        <v>1.875</v>
      </c>
      <c r="E32">
        <f t="shared" si="4"/>
        <v>0</v>
      </c>
      <c r="F32">
        <f t="shared" si="6"/>
        <v>0</v>
      </c>
      <c r="G32">
        <f t="shared" si="0"/>
        <v>1.875</v>
      </c>
      <c r="I32" s="27">
        <v>46934</v>
      </c>
      <c r="M32">
        <f t="shared" si="2"/>
        <v>0.41249999999999998</v>
      </c>
      <c r="N32">
        <f t="shared" si="5"/>
        <v>0</v>
      </c>
      <c r="O32">
        <f t="shared" si="1"/>
        <v>-0.41249999999999998</v>
      </c>
    </row>
    <row r="33" spans="1:15" x14ac:dyDescent="0.25">
      <c r="A33" s="35">
        <v>1.5833333333333299</v>
      </c>
      <c r="E33">
        <f t="shared" si="4"/>
        <v>0</v>
      </c>
      <c r="F33">
        <f t="shared" si="6"/>
        <v>0</v>
      </c>
      <c r="G33">
        <f t="shared" si="0"/>
        <v>0</v>
      </c>
      <c r="I33" s="27">
        <v>47026</v>
      </c>
      <c r="K33">
        <f t="shared" ref="K33" si="14">$B$2/2*$B$14</f>
        <v>1.875</v>
      </c>
      <c r="M33">
        <f t="shared" si="2"/>
        <v>0</v>
      </c>
      <c r="N33">
        <f t="shared" si="5"/>
        <v>0</v>
      </c>
      <c r="O33">
        <f t="shared" si="1"/>
        <v>1.875</v>
      </c>
    </row>
    <row r="34" spans="1:15" x14ac:dyDescent="0.25">
      <c r="A34" s="35">
        <v>1.6666666666666601</v>
      </c>
      <c r="E34">
        <f t="shared" si="4"/>
        <v>0</v>
      </c>
      <c r="F34">
        <f t="shared" si="6"/>
        <v>0</v>
      </c>
      <c r="G34">
        <f t="shared" si="0"/>
        <v>0</v>
      </c>
      <c r="I34" s="27">
        <v>47118</v>
      </c>
      <c r="M34">
        <f t="shared" si="2"/>
        <v>0.41249999999999998</v>
      </c>
      <c r="N34">
        <f t="shared" si="5"/>
        <v>0</v>
      </c>
      <c r="O34">
        <f t="shared" si="1"/>
        <v>-0.41249999999999998</v>
      </c>
    </row>
    <row r="35" spans="1:15" x14ac:dyDescent="0.25">
      <c r="A35" s="35">
        <v>1.75</v>
      </c>
      <c r="E35">
        <f t="shared" si="4"/>
        <v>0.41249999999999998</v>
      </c>
      <c r="F35">
        <f t="shared" si="6"/>
        <v>0</v>
      </c>
      <c r="G35">
        <f t="shared" si="0"/>
        <v>-0.41249999999999998</v>
      </c>
      <c r="I35" s="27">
        <v>47208</v>
      </c>
      <c r="K35">
        <f t="shared" ref="K35" si="15">$B$2/2*$B$14</f>
        <v>1.875</v>
      </c>
      <c r="M35">
        <f t="shared" si="2"/>
        <v>0</v>
      </c>
      <c r="N35">
        <f t="shared" si="5"/>
        <v>0</v>
      </c>
      <c r="O35">
        <f t="shared" si="1"/>
        <v>1.875</v>
      </c>
    </row>
    <row r="36" spans="1:15" x14ac:dyDescent="0.25">
      <c r="A36" s="35">
        <v>1.8333333333333299</v>
      </c>
      <c r="E36">
        <f t="shared" si="4"/>
        <v>0</v>
      </c>
      <c r="F36">
        <f t="shared" si="6"/>
        <v>0</v>
      </c>
      <c r="G36">
        <f t="shared" si="0"/>
        <v>0</v>
      </c>
      <c r="I36" s="27">
        <v>47299</v>
      </c>
      <c r="M36">
        <f t="shared" si="2"/>
        <v>0.41249999999999998</v>
      </c>
      <c r="N36">
        <f t="shared" si="5"/>
        <v>0</v>
      </c>
      <c r="O36">
        <f t="shared" si="1"/>
        <v>-0.41249999999999998</v>
      </c>
    </row>
    <row r="37" spans="1:15" x14ac:dyDescent="0.25">
      <c r="A37" s="35">
        <v>1.9166666666666601</v>
      </c>
      <c r="E37">
        <f t="shared" si="4"/>
        <v>0</v>
      </c>
      <c r="F37">
        <f t="shared" si="6"/>
        <v>0</v>
      </c>
      <c r="G37">
        <f t="shared" si="0"/>
        <v>0</v>
      </c>
      <c r="I37" s="27">
        <v>47391</v>
      </c>
      <c r="K37">
        <f t="shared" ref="K37" si="16">$B$2/2*$B$14</f>
        <v>1.875</v>
      </c>
      <c r="M37">
        <f t="shared" si="2"/>
        <v>0</v>
      </c>
      <c r="N37">
        <f t="shared" si="5"/>
        <v>0</v>
      </c>
      <c r="O37">
        <f t="shared" si="1"/>
        <v>1.875</v>
      </c>
    </row>
    <row r="38" spans="1:15" x14ac:dyDescent="0.25">
      <c r="A38" s="35">
        <v>2</v>
      </c>
      <c r="C38">
        <f>$B$2/2*$B$14</f>
        <v>1.875</v>
      </c>
      <c r="E38">
        <f t="shared" si="4"/>
        <v>0</v>
      </c>
      <c r="F38">
        <f t="shared" si="6"/>
        <v>0</v>
      </c>
      <c r="G38">
        <f t="shared" si="0"/>
        <v>1.875</v>
      </c>
      <c r="I38" s="27">
        <v>47483</v>
      </c>
      <c r="M38">
        <f t="shared" si="2"/>
        <v>0.41249999999999998</v>
      </c>
      <c r="N38">
        <f t="shared" si="5"/>
        <v>0</v>
      </c>
      <c r="O38">
        <f t="shared" si="1"/>
        <v>-0.41249999999999998</v>
      </c>
    </row>
    <row r="39" spans="1:15" x14ac:dyDescent="0.25">
      <c r="A39" s="35">
        <v>2.0833333333333299</v>
      </c>
      <c r="E39">
        <f t="shared" si="4"/>
        <v>0</v>
      </c>
      <c r="F39">
        <f t="shared" si="6"/>
        <v>0</v>
      </c>
      <c r="G39">
        <f t="shared" si="0"/>
        <v>0</v>
      </c>
      <c r="I39" s="27">
        <v>47573</v>
      </c>
      <c r="K39">
        <f t="shared" ref="K39" si="17">$B$2/2*$B$14</f>
        <v>1.875</v>
      </c>
      <c r="M39">
        <f t="shared" si="2"/>
        <v>0</v>
      </c>
      <c r="N39">
        <f t="shared" si="5"/>
        <v>0</v>
      </c>
      <c r="O39">
        <f t="shared" si="1"/>
        <v>1.875</v>
      </c>
    </row>
    <row r="40" spans="1:15" x14ac:dyDescent="0.25">
      <c r="A40" s="35">
        <v>2.1666666666666599</v>
      </c>
      <c r="E40">
        <f t="shared" si="4"/>
        <v>0</v>
      </c>
      <c r="F40">
        <f t="shared" si="6"/>
        <v>0</v>
      </c>
      <c r="G40">
        <f t="shared" si="0"/>
        <v>0</v>
      </c>
      <c r="I40" s="27">
        <v>47664</v>
      </c>
      <c r="M40">
        <f t="shared" si="2"/>
        <v>0.41249999999999998</v>
      </c>
      <c r="N40">
        <f t="shared" si="5"/>
        <v>0</v>
      </c>
      <c r="O40">
        <f t="shared" si="1"/>
        <v>-0.41249999999999998</v>
      </c>
    </row>
    <row r="41" spans="1:15" x14ac:dyDescent="0.25">
      <c r="A41" s="35">
        <v>2.25</v>
      </c>
      <c r="E41">
        <f t="shared" si="4"/>
        <v>0.41249999999999998</v>
      </c>
      <c r="F41">
        <f t="shared" si="6"/>
        <v>0</v>
      </c>
      <c r="G41">
        <f t="shared" si="0"/>
        <v>-0.41249999999999998</v>
      </c>
      <c r="I41" s="27">
        <v>47756</v>
      </c>
      <c r="K41">
        <f t="shared" ref="K41" si="18">$B$2/2*$B$14</f>
        <v>1.875</v>
      </c>
      <c r="M41">
        <f t="shared" si="2"/>
        <v>0</v>
      </c>
      <c r="N41">
        <f t="shared" si="5"/>
        <v>0</v>
      </c>
      <c r="O41">
        <f t="shared" si="1"/>
        <v>1.875</v>
      </c>
    </row>
    <row r="42" spans="1:15" x14ac:dyDescent="0.25">
      <c r="A42" s="35">
        <v>2.3333333333333299</v>
      </c>
      <c r="E42">
        <f t="shared" si="4"/>
        <v>0</v>
      </c>
      <c r="F42">
        <f t="shared" si="6"/>
        <v>0</v>
      </c>
      <c r="G42">
        <f t="shared" si="0"/>
        <v>0</v>
      </c>
      <c r="I42" s="27">
        <v>47848</v>
      </c>
      <c r="M42">
        <f t="shared" si="2"/>
        <v>0.41249999999999998</v>
      </c>
      <c r="N42">
        <f t="shared" si="5"/>
        <v>0</v>
      </c>
      <c r="O42">
        <f t="shared" si="1"/>
        <v>-0.41249999999999998</v>
      </c>
    </row>
    <row r="43" spans="1:15" x14ac:dyDescent="0.25">
      <c r="A43" s="35">
        <v>2.4166666666666599</v>
      </c>
      <c r="E43">
        <f t="shared" si="4"/>
        <v>0</v>
      </c>
      <c r="F43">
        <f t="shared" si="6"/>
        <v>0</v>
      </c>
      <c r="G43">
        <f t="shared" si="0"/>
        <v>0</v>
      </c>
      <c r="I43" s="27">
        <v>47938</v>
      </c>
      <c r="K43">
        <f t="shared" ref="K43" si="19">$B$2/2*$B$14</f>
        <v>1.875</v>
      </c>
      <c r="M43">
        <f t="shared" si="2"/>
        <v>0</v>
      </c>
      <c r="N43">
        <f t="shared" si="5"/>
        <v>0</v>
      </c>
      <c r="O43">
        <f t="shared" si="1"/>
        <v>1.875</v>
      </c>
    </row>
    <row r="44" spans="1:15" x14ac:dyDescent="0.25">
      <c r="A44" s="35">
        <v>2.5</v>
      </c>
      <c r="C44">
        <f>$B$2/2*$B$14</f>
        <v>1.875</v>
      </c>
      <c r="E44">
        <f t="shared" si="4"/>
        <v>0</v>
      </c>
      <c r="F44">
        <f t="shared" si="6"/>
        <v>0</v>
      </c>
      <c r="G44">
        <f t="shared" si="0"/>
        <v>1.875</v>
      </c>
      <c r="I44" s="27">
        <v>48029</v>
      </c>
      <c r="M44">
        <f t="shared" si="2"/>
        <v>0.41249999999999998</v>
      </c>
      <c r="N44">
        <f t="shared" si="5"/>
        <v>0</v>
      </c>
      <c r="O44">
        <f t="shared" si="1"/>
        <v>-0.41249999999999998</v>
      </c>
    </row>
    <row r="45" spans="1:15" x14ac:dyDescent="0.25">
      <c r="A45" s="35">
        <v>2.5833333333333299</v>
      </c>
      <c r="E45">
        <f t="shared" si="4"/>
        <v>0</v>
      </c>
      <c r="F45">
        <f t="shared" si="6"/>
        <v>0</v>
      </c>
      <c r="G45">
        <f t="shared" si="0"/>
        <v>0</v>
      </c>
      <c r="I45" s="27">
        <v>48121</v>
      </c>
      <c r="K45">
        <f t="shared" ref="K45" si="20">$B$2/2*$B$14</f>
        <v>1.875</v>
      </c>
      <c r="M45">
        <f t="shared" si="2"/>
        <v>0</v>
      </c>
      <c r="N45">
        <f t="shared" si="5"/>
        <v>0</v>
      </c>
      <c r="O45">
        <f t="shared" si="1"/>
        <v>1.875</v>
      </c>
    </row>
    <row r="46" spans="1:15" x14ac:dyDescent="0.25">
      <c r="A46" s="35">
        <v>2.6666666666666599</v>
      </c>
      <c r="E46">
        <f t="shared" si="4"/>
        <v>0</v>
      </c>
      <c r="F46">
        <f t="shared" si="6"/>
        <v>0</v>
      </c>
      <c r="G46">
        <f t="shared" si="0"/>
        <v>0</v>
      </c>
      <c r="I46" s="27">
        <v>48213</v>
      </c>
      <c r="M46">
        <f t="shared" si="2"/>
        <v>0.41249999999999998</v>
      </c>
      <c r="N46">
        <f t="shared" si="5"/>
        <v>0</v>
      </c>
      <c r="O46">
        <f t="shared" si="1"/>
        <v>-0.41249999999999998</v>
      </c>
    </row>
    <row r="47" spans="1:15" x14ac:dyDescent="0.25">
      <c r="A47" s="35">
        <v>2.75</v>
      </c>
      <c r="E47">
        <f t="shared" si="4"/>
        <v>0.41249999999999998</v>
      </c>
      <c r="F47">
        <f t="shared" si="6"/>
        <v>0</v>
      </c>
      <c r="G47">
        <f t="shared" si="0"/>
        <v>-0.41249999999999998</v>
      </c>
      <c r="I47" s="27">
        <v>48304</v>
      </c>
      <c r="K47">
        <f t="shared" ref="K47" si="21">$B$2/2*$B$14</f>
        <v>1.875</v>
      </c>
      <c r="M47">
        <f t="shared" si="2"/>
        <v>0</v>
      </c>
      <c r="N47">
        <f t="shared" si="5"/>
        <v>0</v>
      </c>
      <c r="O47">
        <f t="shared" si="1"/>
        <v>1.875</v>
      </c>
    </row>
    <row r="48" spans="1:15" x14ac:dyDescent="0.25">
      <c r="A48" s="35">
        <v>2.8333333333333299</v>
      </c>
      <c r="E48">
        <f t="shared" si="4"/>
        <v>0</v>
      </c>
      <c r="F48">
        <f t="shared" si="6"/>
        <v>0</v>
      </c>
      <c r="G48">
        <f t="shared" si="0"/>
        <v>0</v>
      </c>
      <c r="I48" s="27">
        <v>48395</v>
      </c>
      <c r="M48">
        <f t="shared" si="2"/>
        <v>0.41249999999999998</v>
      </c>
      <c r="N48">
        <f t="shared" si="5"/>
        <v>0</v>
      </c>
      <c r="O48">
        <f t="shared" si="1"/>
        <v>-0.41249999999999998</v>
      </c>
    </row>
    <row r="49" spans="1:15" x14ac:dyDescent="0.25">
      <c r="A49" s="35">
        <v>2.9166666666666599</v>
      </c>
      <c r="E49">
        <f t="shared" si="4"/>
        <v>0</v>
      </c>
      <c r="F49">
        <f t="shared" si="6"/>
        <v>0</v>
      </c>
      <c r="G49">
        <f t="shared" si="0"/>
        <v>0</v>
      </c>
      <c r="I49" s="27">
        <v>48487</v>
      </c>
      <c r="K49">
        <f t="shared" ref="K49" si="22">$B$2/2*$B$14</f>
        <v>1.875</v>
      </c>
      <c r="M49">
        <f t="shared" si="2"/>
        <v>0</v>
      </c>
      <c r="N49">
        <f t="shared" si="5"/>
        <v>0</v>
      </c>
      <c r="O49">
        <f t="shared" si="1"/>
        <v>1.875</v>
      </c>
    </row>
    <row r="50" spans="1:15" x14ac:dyDescent="0.25">
      <c r="A50" s="35">
        <v>3</v>
      </c>
      <c r="C50">
        <f>$B$2/2*$B$14</f>
        <v>1.875</v>
      </c>
      <c r="E50">
        <f t="shared" si="4"/>
        <v>0</v>
      </c>
      <c r="F50">
        <f t="shared" si="6"/>
        <v>0</v>
      </c>
      <c r="G50">
        <f t="shared" si="0"/>
        <v>1.875</v>
      </c>
      <c r="I50" s="27">
        <v>48579</v>
      </c>
      <c r="M50">
        <f t="shared" si="2"/>
        <v>0.41249999999999998</v>
      </c>
      <c r="N50">
        <f t="shared" si="5"/>
        <v>0</v>
      </c>
      <c r="O50">
        <f t="shared" si="1"/>
        <v>-0.41249999999999998</v>
      </c>
    </row>
    <row r="51" spans="1:15" x14ac:dyDescent="0.25">
      <c r="A51" s="35">
        <v>3.0833333333333299</v>
      </c>
      <c r="E51">
        <f t="shared" si="4"/>
        <v>0</v>
      </c>
      <c r="F51">
        <f t="shared" si="6"/>
        <v>0</v>
      </c>
      <c r="G51">
        <f t="shared" si="0"/>
        <v>0</v>
      </c>
      <c r="I51" s="27">
        <v>48669</v>
      </c>
      <c r="K51">
        <f t="shared" ref="K51" si="23">$B$2/2*$B$14</f>
        <v>1.875</v>
      </c>
      <c r="M51">
        <f t="shared" si="2"/>
        <v>0</v>
      </c>
      <c r="N51">
        <f t="shared" si="5"/>
        <v>0</v>
      </c>
      <c r="O51">
        <f t="shared" si="1"/>
        <v>1.875</v>
      </c>
    </row>
    <row r="52" spans="1:15" x14ac:dyDescent="0.25">
      <c r="A52" s="35">
        <v>3.1666666666666599</v>
      </c>
      <c r="E52">
        <f t="shared" si="4"/>
        <v>0</v>
      </c>
      <c r="F52">
        <f t="shared" si="6"/>
        <v>0</v>
      </c>
      <c r="G52">
        <f t="shared" si="0"/>
        <v>0</v>
      </c>
      <c r="I52" s="27">
        <v>48760</v>
      </c>
      <c r="M52">
        <f t="shared" si="2"/>
        <v>0.41249999999999998</v>
      </c>
      <c r="N52">
        <f t="shared" si="5"/>
        <v>0</v>
      </c>
      <c r="O52">
        <f t="shared" si="1"/>
        <v>-0.41249999999999998</v>
      </c>
    </row>
    <row r="53" spans="1:15" x14ac:dyDescent="0.25">
      <c r="A53" s="35">
        <v>3.25</v>
      </c>
      <c r="E53">
        <f t="shared" si="4"/>
        <v>0.41249999999999998</v>
      </c>
      <c r="F53">
        <f t="shared" si="6"/>
        <v>0</v>
      </c>
      <c r="G53">
        <f t="shared" si="0"/>
        <v>-0.41249999999999998</v>
      </c>
      <c r="I53" s="27">
        <v>48852</v>
      </c>
      <c r="K53">
        <f t="shared" ref="K53" si="24">$B$2/2*$B$14</f>
        <v>1.875</v>
      </c>
      <c r="M53">
        <f t="shared" si="2"/>
        <v>0</v>
      </c>
      <c r="N53">
        <f t="shared" si="5"/>
        <v>0</v>
      </c>
      <c r="O53">
        <f t="shared" si="1"/>
        <v>1.875</v>
      </c>
    </row>
    <row r="54" spans="1:15" x14ac:dyDescent="0.25">
      <c r="A54" s="35">
        <v>3.3333333333333299</v>
      </c>
      <c r="E54">
        <f t="shared" si="4"/>
        <v>0</v>
      </c>
      <c r="F54">
        <f t="shared" si="6"/>
        <v>0</v>
      </c>
      <c r="G54">
        <f t="shared" si="0"/>
        <v>0</v>
      </c>
      <c r="H54" s="3"/>
      <c r="I54" s="27">
        <v>48944</v>
      </c>
      <c r="M54">
        <f t="shared" si="2"/>
        <v>0.41249999999999998</v>
      </c>
      <c r="N54">
        <f t="shared" si="5"/>
        <v>0</v>
      </c>
      <c r="O54">
        <f t="shared" si="1"/>
        <v>-0.41249999999999998</v>
      </c>
    </row>
    <row r="55" spans="1:15" x14ac:dyDescent="0.25">
      <c r="A55" s="35">
        <v>3.4166666666666599</v>
      </c>
      <c r="E55">
        <f t="shared" ref="E55:E118" si="25">C52*$F$2</f>
        <v>0</v>
      </c>
      <c r="F55">
        <f t="shared" si="6"/>
        <v>0</v>
      </c>
      <c r="G55">
        <f t="shared" si="0"/>
        <v>0</v>
      </c>
      <c r="I55" s="27">
        <v>49034</v>
      </c>
      <c r="K55">
        <f t="shared" ref="K55" si="26">$B$2/2*$B$14</f>
        <v>1.875</v>
      </c>
      <c r="M55">
        <f t="shared" si="2"/>
        <v>0</v>
      </c>
      <c r="N55">
        <f t="shared" si="5"/>
        <v>0</v>
      </c>
      <c r="O55">
        <f t="shared" si="1"/>
        <v>1.875</v>
      </c>
    </row>
    <row r="56" spans="1:15" x14ac:dyDescent="0.25">
      <c r="A56" s="35">
        <v>3.4999999999999898</v>
      </c>
      <c r="C56">
        <f>$B$2/2*$B$14</f>
        <v>1.875</v>
      </c>
      <c r="E56">
        <f t="shared" si="25"/>
        <v>0</v>
      </c>
      <c r="F56">
        <f t="shared" si="6"/>
        <v>0</v>
      </c>
      <c r="G56">
        <f t="shared" si="0"/>
        <v>1.875</v>
      </c>
      <c r="I56" s="27">
        <v>49125</v>
      </c>
      <c r="M56">
        <f t="shared" si="2"/>
        <v>0.41249999999999998</v>
      </c>
      <c r="N56">
        <f t="shared" si="5"/>
        <v>0</v>
      </c>
      <c r="O56">
        <f t="shared" si="1"/>
        <v>-0.41249999999999998</v>
      </c>
    </row>
    <row r="57" spans="1:15" x14ac:dyDescent="0.25">
      <c r="A57" s="35">
        <v>3.5833333333333202</v>
      </c>
      <c r="E57">
        <f t="shared" si="25"/>
        <v>0</v>
      </c>
      <c r="F57">
        <f t="shared" si="6"/>
        <v>0</v>
      </c>
      <c r="G57">
        <f t="shared" si="0"/>
        <v>0</v>
      </c>
      <c r="I57" s="27">
        <v>49217</v>
      </c>
      <c r="K57">
        <f t="shared" ref="K57" si="27">$B$2/2*$B$14</f>
        <v>1.875</v>
      </c>
      <c r="M57">
        <f t="shared" si="2"/>
        <v>0</v>
      </c>
      <c r="N57">
        <f t="shared" si="5"/>
        <v>0</v>
      </c>
      <c r="O57">
        <f t="shared" si="1"/>
        <v>1.875</v>
      </c>
    </row>
    <row r="58" spans="1:15" x14ac:dyDescent="0.25">
      <c r="A58" s="35">
        <v>3.6666666666666501</v>
      </c>
      <c r="E58">
        <f t="shared" si="25"/>
        <v>0</v>
      </c>
      <c r="F58">
        <f t="shared" si="6"/>
        <v>0</v>
      </c>
      <c r="G58">
        <f t="shared" si="0"/>
        <v>0</v>
      </c>
      <c r="I58" s="27">
        <v>49309</v>
      </c>
      <c r="M58">
        <f t="shared" si="2"/>
        <v>0.41249999999999998</v>
      </c>
      <c r="N58">
        <f t="shared" si="5"/>
        <v>0</v>
      </c>
      <c r="O58">
        <f t="shared" si="1"/>
        <v>-0.41249999999999998</v>
      </c>
    </row>
    <row r="59" spans="1:15" x14ac:dyDescent="0.25">
      <c r="A59" s="35">
        <v>3.74999999999998</v>
      </c>
      <c r="E59">
        <f t="shared" si="25"/>
        <v>0.41249999999999998</v>
      </c>
      <c r="F59">
        <f t="shared" si="6"/>
        <v>0</v>
      </c>
      <c r="G59">
        <f t="shared" si="0"/>
        <v>-0.41249999999999998</v>
      </c>
      <c r="I59" s="27">
        <v>49399</v>
      </c>
      <c r="K59">
        <f t="shared" ref="K59" si="28">$B$2/2*$B$14</f>
        <v>1.875</v>
      </c>
      <c r="M59">
        <f t="shared" si="2"/>
        <v>0</v>
      </c>
      <c r="N59">
        <f t="shared" si="5"/>
        <v>0</v>
      </c>
      <c r="O59">
        <f t="shared" si="1"/>
        <v>1.875</v>
      </c>
    </row>
    <row r="60" spans="1:15" x14ac:dyDescent="0.25">
      <c r="A60" s="35">
        <v>3.8333333333333099</v>
      </c>
      <c r="E60">
        <f t="shared" si="25"/>
        <v>0</v>
      </c>
      <c r="F60">
        <f t="shared" si="6"/>
        <v>0</v>
      </c>
      <c r="G60">
        <f t="shared" si="0"/>
        <v>0</v>
      </c>
      <c r="I60" s="27">
        <v>49490</v>
      </c>
      <c r="M60">
        <f t="shared" si="2"/>
        <v>0.41249999999999998</v>
      </c>
      <c r="N60">
        <f t="shared" si="5"/>
        <v>0</v>
      </c>
      <c r="O60">
        <f t="shared" si="1"/>
        <v>-0.41249999999999998</v>
      </c>
    </row>
    <row r="61" spans="1:15" x14ac:dyDescent="0.25">
      <c r="A61" s="35">
        <v>3.9166666666666399</v>
      </c>
      <c r="E61">
        <f t="shared" si="25"/>
        <v>0</v>
      </c>
      <c r="F61">
        <f t="shared" si="6"/>
        <v>0</v>
      </c>
      <c r="G61">
        <f t="shared" si="0"/>
        <v>0</v>
      </c>
      <c r="I61" s="27">
        <v>49582</v>
      </c>
      <c r="K61">
        <f t="shared" ref="K61" si="29">$B$2/2*$B$14</f>
        <v>1.875</v>
      </c>
      <c r="M61">
        <f t="shared" si="2"/>
        <v>0</v>
      </c>
      <c r="N61">
        <f t="shared" si="5"/>
        <v>0</v>
      </c>
      <c r="O61">
        <f t="shared" si="1"/>
        <v>1.875</v>
      </c>
    </row>
    <row r="62" spans="1:15" x14ac:dyDescent="0.25">
      <c r="A62" s="35">
        <v>3.9999999999999698</v>
      </c>
      <c r="C62">
        <f>$B$2/2*$B$14</f>
        <v>1.875</v>
      </c>
      <c r="E62">
        <f t="shared" si="25"/>
        <v>0</v>
      </c>
      <c r="F62">
        <f t="shared" si="6"/>
        <v>0</v>
      </c>
      <c r="G62">
        <f t="shared" si="0"/>
        <v>1.875</v>
      </c>
      <c r="I62" s="27">
        <v>49674</v>
      </c>
      <c r="M62">
        <f t="shared" si="2"/>
        <v>0.41249999999999998</v>
      </c>
      <c r="N62">
        <f t="shared" si="5"/>
        <v>0</v>
      </c>
      <c r="O62">
        <f t="shared" si="1"/>
        <v>-0.41249999999999998</v>
      </c>
    </row>
    <row r="63" spans="1:15" x14ac:dyDescent="0.25">
      <c r="A63" s="35">
        <v>4.0833333333333002</v>
      </c>
      <c r="E63">
        <f t="shared" si="25"/>
        <v>0</v>
      </c>
      <c r="F63">
        <f t="shared" si="6"/>
        <v>0</v>
      </c>
      <c r="G63">
        <f t="shared" si="0"/>
        <v>0</v>
      </c>
      <c r="I63" s="27">
        <v>49765</v>
      </c>
      <c r="K63">
        <f t="shared" ref="K63" si="30">$B$2/2*$B$14</f>
        <v>1.875</v>
      </c>
      <c r="M63">
        <f t="shared" si="2"/>
        <v>0</v>
      </c>
      <c r="N63">
        <f t="shared" si="5"/>
        <v>0</v>
      </c>
      <c r="O63">
        <f t="shared" si="1"/>
        <v>1.875</v>
      </c>
    </row>
    <row r="64" spans="1:15" x14ac:dyDescent="0.25">
      <c r="A64" s="35">
        <v>4.1666666666666297</v>
      </c>
      <c r="E64">
        <f t="shared" si="25"/>
        <v>0</v>
      </c>
      <c r="F64">
        <f t="shared" si="6"/>
        <v>0</v>
      </c>
      <c r="G64">
        <f t="shared" si="0"/>
        <v>0</v>
      </c>
      <c r="I64" s="27">
        <v>49856</v>
      </c>
      <c r="M64">
        <f t="shared" si="2"/>
        <v>0.41249999999999998</v>
      </c>
      <c r="N64">
        <f t="shared" si="5"/>
        <v>0</v>
      </c>
      <c r="O64">
        <f t="shared" si="1"/>
        <v>-0.41249999999999998</v>
      </c>
    </row>
    <row r="65" spans="1:15" x14ac:dyDescent="0.25">
      <c r="A65" s="35">
        <v>4.24999999999996</v>
      </c>
      <c r="E65">
        <f t="shared" si="25"/>
        <v>0.41249999999999998</v>
      </c>
      <c r="F65">
        <f t="shared" si="6"/>
        <v>0</v>
      </c>
      <c r="G65">
        <f t="shared" si="0"/>
        <v>-0.41249999999999998</v>
      </c>
      <c r="I65" s="27">
        <v>49948</v>
      </c>
      <c r="K65">
        <f t="shared" ref="K65" si="31">$B$2/2*$B$14</f>
        <v>1.875</v>
      </c>
      <c r="M65">
        <f t="shared" si="2"/>
        <v>0</v>
      </c>
      <c r="N65">
        <f t="shared" si="5"/>
        <v>0</v>
      </c>
      <c r="O65">
        <f t="shared" si="1"/>
        <v>1.875</v>
      </c>
    </row>
    <row r="66" spans="1:15" x14ac:dyDescent="0.25">
      <c r="A66" s="35">
        <v>4.3333333333332904</v>
      </c>
      <c r="E66">
        <f t="shared" si="25"/>
        <v>0</v>
      </c>
      <c r="F66">
        <f t="shared" si="6"/>
        <v>0</v>
      </c>
      <c r="G66">
        <f t="shared" si="0"/>
        <v>0</v>
      </c>
      <c r="I66" s="27">
        <v>50040</v>
      </c>
      <c r="M66">
        <f t="shared" si="2"/>
        <v>0.41249999999999998</v>
      </c>
      <c r="N66">
        <f t="shared" si="5"/>
        <v>0</v>
      </c>
      <c r="O66">
        <f t="shared" si="1"/>
        <v>-0.41249999999999998</v>
      </c>
    </row>
    <row r="67" spans="1:15" x14ac:dyDescent="0.25">
      <c r="A67" s="35">
        <v>4.4166666666666199</v>
      </c>
      <c r="E67">
        <f t="shared" si="25"/>
        <v>0</v>
      </c>
      <c r="F67">
        <f t="shared" si="6"/>
        <v>0</v>
      </c>
      <c r="G67">
        <f t="shared" si="0"/>
        <v>0</v>
      </c>
      <c r="I67" s="27">
        <v>50130</v>
      </c>
      <c r="K67">
        <f t="shared" ref="K67" si="32">$B$2/2*$B$14</f>
        <v>1.875</v>
      </c>
      <c r="M67">
        <f t="shared" si="2"/>
        <v>0</v>
      </c>
      <c r="N67">
        <f t="shared" si="5"/>
        <v>0</v>
      </c>
      <c r="O67">
        <f t="shared" si="1"/>
        <v>1.875</v>
      </c>
    </row>
    <row r="68" spans="1:15" x14ac:dyDescent="0.25">
      <c r="A68" s="35">
        <v>4.4999999999999503</v>
      </c>
      <c r="C68">
        <f>$B$2/2*$B$14</f>
        <v>1.875</v>
      </c>
      <c r="E68">
        <f t="shared" si="25"/>
        <v>0</v>
      </c>
      <c r="F68">
        <f t="shared" si="6"/>
        <v>0</v>
      </c>
      <c r="G68">
        <f t="shared" si="0"/>
        <v>1.875</v>
      </c>
      <c r="I68" s="27">
        <v>50221</v>
      </c>
      <c r="M68">
        <f t="shared" si="2"/>
        <v>0.41249999999999998</v>
      </c>
      <c r="N68">
        <f t="shared" si="5"/>
        <v>0</v>
      </c>
      <c r="O68">
        <f t="shared" si="1"/>
        <v>-0.41249999999999998</v>
      </c>
    </row>
    <row r="69" spans="1:15" x14ac:dyDescent="0.25">
      <c r="A69" s="35">
        <v>4.5833333333332797</v>
      </c>
      <c r="E69">
        <f t="shared" si="25"/>
        <v>0</v>
      </c>
      <c r="F69">
        <f t="shared" si="6"/>
        <v>0</v>
      </c>
      <c r="G69">
        <f t="shared" si="0"/>
        <v>0</v>
      </c>
      <c r="I69" s="27">
        <v>50313</v>
      </c>
      <c r="K69">
        <f t="shared" ref="K69" si="33">$B$2/2*$B$14</f>
        <v>1.875</v>
      </c>
      <c r="M69">
        <f t="shared" si="2"/>
        <v>0</v>
      </c>
      <c r="N69">
        <f t="shared" si="5"/>
        <v>0</v>
      </c>
      <c r="O69">
        <f t="shared" si="1"/>
        <v>1.875</v>
      </c>
    </row>
    <row r="70" spans="1:15" x14ac:dyDescent="0.25">
      <c r="A70" s="35">
        <v>4.6666666666666101</v>
      </c>
      <c r="E70">
        <f t="shared" si="25"/>
        <v>0</v>
      </c>
      <c r="F70">
        <f t="shared" si="6"/>
        <v>0</v>
      </c>
      <c r="G70">
        <f t="shared" si="0"/>
        <v>0</v>
      </c>
      <c r="I70" s="27">
        <v>50405</v>
      </c>
      <c r="M70">
        <f t="shared" si="2"/>
        <v>0.41249999999999998</v>
      </c>
      <c r="N70">
        <f t="shared" si="5"/>
        <v>0</v>
      </c>
      <c r="O70">
        <f t="shared" si="1"/>
        <v>-0.41249999999999998</v>
      </c>
    </row>
    <row r="71" spans="1:15" x14ac:dyDescent="0.25">
      <c r="A71" s="35">
        <v>4.7499999999999396</v>
      </c>
      <c r="E71">
        <f t="shared" si="25"/>
        <v>0.41249999999999998</v>
      </c>
      <c r="F71">
        <f t="shared" si="6"/>
        <v>0</v>
      </c>
      <c r="G71">
        <f t="shared" si="0"/>
        <v>-0.41249999999999998</v>
      </c>
      <c r="I71" s="27">
        <v>50495</v>
      </c>
      <c r="K71">
        <f t="shared" ref="K71" si="34">$B$2/2*$B$14</f>
        <v>1.875</v>
      </c>
      <c r="M71">
        <f t="shared" si="2"/>
        <v>0</v>
      </c>
      <c r="N71">
        <f t="shared" si="5"/>
        <v>0</v>
      </c>
      <c r="O71">
        <f t="shared" si="1"/>
        <v>1.875</v>
      </c>
    </row>
    <row r="72" spans="1:15" x14ac:dyDescent="0.25">
      <c r="A72" s="35">
        <v>4.83333333333327</v>
      </c>
      <c r="E72">
        <f t="shared" si="25"/>
        <v>0</v>
      </c>
      <c r="F72">
        <f t="shared" si="6"/>
        <v>0</v>
      </c>
      <c r="G72">
        <f t="shared" si="0"/>
        <v>0</v>
      </c>
      <c r="I72" s="27">
        <v>50586</v>
      </c>
      <c r="M72">
        <f t="shared" si="2"/>
        <v>0.41249999999999998</v>
      </c>
      <c r="N72">
        <f t="shared" si="5"/>
        <v>0</v>
      </c>
      <c r="O72">
        <f t="shared" si="1"/>
        <v>-0.41249999999999998</v>
      </c>
    </row>
    <row r="73" spans="1:15" x14ac:dyDescent="0.25">
      <c r="A73" s="35">
        <v>4.9166666666666003</v>
      </c>
      <c r="E73">
        <f t="shared" si="25"/>
        <v>0</v>
      </c>
      <c r="F73">
        <f t="shared" si="6"/>
        <v>0</v>
      </c>
      <c r="G73">
        <f t="shared" si="0"/>
        <v>0</v>
      </c>
      <c r="I73" s="27">
        <v>50678</v>
      </c>
      <c r="K73">
        <f t="shared" ref="K73" si="35">$B$2/2*$B$14</f>
        <v>1.875</v>
      </c>
      <c r="M73">
        <f t="shared" si="2"/>
        <v>0</v>
      </c>
      <c r="N73">
        <f t="shared" si="5"/>
        <v>0</v>
      </c>
      <c r="O73">
        <f t="shared" si="1"/>
        <v>1.875</v>
      </c>
    </row>
    <row r="74" spans="1:15" x14ac:dyDescent="0.25">
      <c r="A74" s="35">
        <v>4.9999999999999298</v>
      </c>
      <c r="C74">
        <f>$B$2/2*$B$14</f>
        <v>1.875</v>
      </c>
      <c r="E74">
        <f t="shared" si="25"/>
        <v>0</v>
      </c>
      <c r="F74">
        <f t="shared" si="6"/>
        <v>0</v>
      </c>
      <c r="G74">
        <f t="shared" si="0"/>
        <v>1.875</v>
      </c>
      <c r="I74" s="27">
        <v>50770</v>
      </c>
      <c r="M74">
        <f t="shared" si="2"/>
        <v>0.41249999999999998</v>
      </c>
      <c r="N74">
        <f t="shared" si="5"/>
        <v>0</v>
      </c>
      <c r="O74">
        <f t="shared" si="1"/>
        <v>-0.41249999999999998</v>
      </c>
    </row>
    <row r="75" spans="1:15" x14ac:dyDescent="0.25">
      <c r="A75" s="35">
        <v>5.0833333333332602</v>
      </c>
      <c r="E75">
        <f t="shared" si="25"/>
        <v>0</v>
      </c>
      <c r="F75">
        <f t="shared" si="6"/>
        <v>0</v>
      </c>
      <c r="G75">
        <f t="shared" si="0"/>
        <v>0</v>
      </c>
      <c r="I75" s="27">
        <v>50860</v>
      </c>
      <c r="K75">
        <f t="shared" ref="K75" si="36">$B$2/2*$B$14</f>
        <v>1.875</v>
      </c>
      <c r="M75">
        <f t="shared" si="2"/>
        <v>0</v>
      </c>
      <c r="N75">
        <f t="shared" si="5"/>
        <v>0</v>
      </c>
      <c r="O75">
        <f t="shared" si="1"/>
        <v>1.875</v>
      </c>
    </row>
    <row r="76" spans="1:15" x14ac:dyDescent="0.25">
      <c r="A76" s="35">
        <v>5.1666666666665897</v>
      </c>
      <c r="E76">
        <f t="shared" si="25"/>
        <v>0</v>
      </c>
      <c r="F76">
        <f t="shared" si="6"/>
        <v>0</v>
      </c>
      <c r="G76">
        <f t="shared" si="0"/>
        <v>0</v>
      </c>
      <c r="I76" s="27">
        <v>50951</v>
      </c>
      <c r="M76">
        <f t="shared" si="2"/>
        <v>0.41249999999999998</v>
      </c>
      <c r="N76">
        <f t="shared" si="5"/>
        <v>0</v>
      </c>
      <c r="O76">
        <f t="shared" si="1"/>
        <v>-0.41249999999999998</v>
      </c>
    </row>
    <row r="77" spans="1:15" x14ac:dyDescent="0.25">
      <c r="A77" s="35">
        <v>5.2499999999999201</v>
      </c>
      <c r="E77">
        <f t="shared" si="25"/>
        <v>0.41249999999999998</v>
      </c>
      <c r="F77">
        <f t="shared" si="6"/>
        <v>0</v>
      </c>
      <c r="G77">
        <f t="shared" si="0"/>
        <v>-0.41249999999999998</v>
      </c>
      <c r="I77" s="27">
        <v>51043</v>
      </c>
      <c r="K77">
        <f t="shared" ref="K77" si="37">$B$2/2*$B$14</f>
        <v>1.875</v>
      </c>
      <c r="M77">
        <f t="shared" si="2"/>
        <v>0</v>
      </c>
      <c r="N77">
        <f t="shared" si="5"/>
        <v>0</v>
      </c>
      <c r="O77">
        <f t="shared" si="1"/>
        <v>1.875</v>
      </c>
    </row>
    <row r="78" spans="1:15" x14ac:dyDescent="0.25">
      <c r="A78" s="35">
        <v>5.3333333333332504</v>
      </c>
      <c r="E78">
        <f t="shared" si="25"/>
        <v>0</v>
      </c>
      <c r="F78">
        <f t="shared" si="6"/>
        <v>0</v>
      </c>
      <c r="G78">
        <f t="shared" si="0"/>
        <v>0</v>
      </c>
      <c r="I78" s="27">
        <v>51135</v>
      </c>
      <c r="M78">
        <f t="shared" si="2"/>
        <v>0.41249999999999998</v>
      </c>
      <c r="N78">
        <f t="shared" si="5"/>
        <v>0</v>
      </c>
      <c r="O78">
        <f t="shared" si="1"/>
        <v>-0.41249999999999998</v>
      </c>
    </row>
    <row r="79" spans="1:15" x14ac:dyDescent="0.25">
      <c r="A79" s="35">
        <v>5.4166666666665799</v>
      </c>
      <c r="E79">
        <f t="shared" si="25"/>
        <v>0</v>
      </c>
      <c r="F79">
        <f t="shared" si="6"/>
        <v>0</v>
      </c>
      <c r="G79">
        <f t="shared" ref="G79:G142" si="38">-B79+C79+D79-E79-F79</f>
        <v>0</v>
      </c>
      <c r="I79" s="27">
        <v>51226</v>
      </c>
      <c r="K79">
        <f t="shared" ref="K79" si="39">$B$2/2*$B$14</f>
        <v>1.875</v>
      </c>
      <c r="M79">
        <f t="shared" si="2"/>
        <v>0</v>
      </c>
      <c r="N79">
        <f t="shared" si="5"/>
        <v>0</v>
      </c>
      <c r="O79">
        <f t="shared" ref="O79:O95" si="40">-J79+K79+L79-M79-N79</f>
        <v>1.875</v>
      </c>
    </row>
    <row r="80" spans="1:15" x14ac:dyDescent="0.25">
      <c r="A80" s="35">
        <v>5.4999999999999103</v>
      </c>
      <c r="C80">
        <f>$B$2/2*$B$14</f>
        <v>1.875</v>
      </c>
      <c r="E80">
        <f t="shared" si="25"/>
        <v>0</v>
      </c>
      <c r="F80">
        <f t="shared" si="6"/>
        <v>0</v>
      </c>
      <c r="G80">
        <f t="shared" si="38"/>
        <v>1.875</v>
      </c>
      <c r="I80" s="27">
        <v>51317</v>
      </c>
      <c r="M80">
        <f t="shared" ref="M80:M94" si="41">K79*$F$2</f>
        <v>0.41249999999999998</v>
      </c>
      <c r="N80">
        <f t="shared" si="5"/>
        <v>0</v>
      </c>
      <c r="O80">
        <f t="shared" si="40"/>
        <v>-0.41249999999999998</v>
      </c>
    </row>
    <row r="81" spans="1:15" x14ac:dyDescent="0.25">
      <c r="A81" s="35">
        <v>5.5833333333332398</v>
      </c>
      <c r="E81">
        <f t="shared" si="25"/>
        <v>0</v>
      </c>
      <c r="F81">
        <f t="shared" si="6"/>
        <v>0</v>
      </c>
      <c r="G81">
        <f t="shared" si="38"/>
        <v>0</v>
      </c>
      <c r="I81" s="27">
        <v>51409</v>
      </c>
      <c r="K81">
        <f t="shared" ref="K81" si="42">$B$2/2*$B$14</f>
        <v>1.875</v>
      </c>
      <c r="M81">
        <f t="shared" si="41"/>
        <v>0</v>
      </c>
      <c r="N81">
        <f t="shared" si="5"/>
        <v>0</v>
      </c>
      <c r="O81">
        <f t="shared" si="40"/>
        <v>1.875</v>
      </c>
    </row>
    <row r="82" spans="1:15" x14ac:dyDescent="0.25">
      <c r="A82" s="35">
        <v>5.6666666666665702</v>
      </c>
      <c r="E82">
        <f t="shared" si="25"/>
        <v>0</v>
      </c>
      <c r="F82">
        <f t="shared" si="6"/>
        <v>0</v>
      </c>
      <c r="G82">
        <f t="shared" si="38"/>
        <v>0</v>
      </c>
      <c r="I82" s="27">
        <v>51501</v>
      </c>
      <c r="M82">
        <f t="shared" si="41"/>
        <v>0.41249999999999998</v>
      </c>
      <c r="N82">
        <f t="shared" ref="N82:N95" si="43">MAX(L80-$B$14,0)*$F$3</f>
        <v>0</v>
      </c>
      <c r="O82">
        <f t="shared" si="40"/>
        <v>-0.41249999999999998</v>
      </c>
    </row>
    <row r="83" spans="1:15" x14ac:dyDescent="0.25">
      <c r="A83" s="35">
        <v>5.7499999999998996</v>
      </c>
      <c r="E83">
        <f t="shared" si="25"/>
        <v>0.41249999999999998</v>
      </c>
      <c r="F83">
        <f t="shared" ref="F83:F146" si="44">MAX(D78-$B$14,0)*$F$3</f>
        <v>0</v>
      </c>
      <c r="G83">
        <f t="shared" si="38"/>
        <v>-0.41249999999999998</v>
      </c>
      <c r="I83" s="27">
        <v>51591</v>
      </c>
      <c r="K83">
        <f t="shared" ref="K83" si="45">$B$2/2*$B$14</f>
        <v>1.875</v>
      </c>
      <c r="M83">
        <f t="shared" si="41"/>
        <v>0</v>
      </c>
      <c r="N83">
        <f t="shared" si="43"/>
        <v>0</v>
      </c>
      <c r="O83">
        <f t="shared" si="40"/>
        <v>1.875</v>
      </c>
    </row>
    <row r="84" spans="1:15" x14ac:dyDescent="0.25">
      <c r="A84" s="35">
        <v>5.83333333333323</v>
      </c>
      <c r="E84">
        <f t="shared" si="25"/>
        <v>0</v>
      </c>
      <c r="F84">
        <f t="shared" si="44"/>
        <v>0</v>
      </c>
      <c r="G84">
        <f t="shared" si="38"/>
        <v>0</v>
      </c>
      <c r="I84" s="27">
        <v>51682</v>
      </c>
      <c r="M84">
        <f t="shared" si="41"/>
        <v>0.41249999999999998</v>
      </c>
      <c r="N84">
        <f t="shared" si="43"/>
        <v>0</v>
      </c>
      <c r="O84">
        <f t="shared" si="40"/>
        <v>-0.41249999999999998</v>
      </c>
    </row>
    <row r="85" spans="1:15" x14ac:dyDescent="0.25">
      <c r="A85" s="35">
        <v>5.9166666666665604</v>
      </c>
      <c r="E85">
        <f t="shared" si="25"/>
        <v>0</v>
      </c>
      <c r="F85">
        <f t="shared" si="44"/>
        <v>0</v>
      </c>
      <c r="G85">
        <f t="shared" si="38"/>
        <v>0</v>
      </c>
      <c r="I85" s="27">
        <v>51774</v>
      </c>
      <c r="K85">
        <f t="shared" ref="K85" si="46">$B$2/2*$B$14</f>
        <v>1.875</v>
      </c>
      <c r="M85">
        <f t="shared" si="41"/>
        <v>0</v>
      </c>
      <c r="N85">
        <f t="shared" si="43"/>
        <v>0</v>
      </c>
      <c r="O85">
        <f t="shared" si="40"/>
        <v>1.875</v>
      </c>
    </row>
    <row r="86" spans="1:15" x14ac:dyDescent="0.25">
      <c r="A86" s="35">
        <v>5.9999999999998899</v>
      </c>
      <c r="C86">
        <f>$B$2/2*$B$14</f>
        <v>1.875</v>
      </c>
      <c r="E86">
        <f t="shared" si="25"/>
        <v>0</v>
      </c>
      <c r="F86">
        <f t="shared" si="44"/>
        <v>0</v>
      </c>
      <c r="G86">
        <f t="shared" si="38"/>
        <v>1.875</v>
      </c>
      <c r="I86" s="27">
        <v>51866</v>
      </c>
      <c r="M86">
        <f t="shared" si="41"/>
        <v>0.41249999999999998</v>
      </c>
      <c r="N86">
        <f t="shared" si="43"/>
        <v>0</v>
      </c>
      <c r="O86">
        <f t="shared" si="40"/>
        <v>-0.41249999999999998</v>
      </c>
    </row>
    <row r="87" spans="1:15" x14ac:dyDescent="0.25">
      <c r="A87" s="35">
        <v>6.0833333333332202</v>
      </c>
      <c r="E87">
        <f t="shared" si="25"/>
        <v>0</v>
      </c>
      <c r="F87">
        <f t="shared" si="44"/>
        <v>0</v>
      </c>
      <c r="G87">
        <f t="shared" si="38"/>
        <v>0</v>
      </c>
      <c r="I87" s="27">
        <v>51956</v>
      </c>
      <c r="K87">
        <f t="shared" ref="K87" si="47">$B$2/2*$B$14</f>
        <v>1.875</v>
      </c>
      <c r="M87">
        <f t="shared" si="41"/>
        <v>0</v>
      </c>
      <c r="N87">
        <f t="shared" si="43"/>
        <v>0</v>
      </c>
      <c r="O87">
        <f t="shared" si="40"/>
        <v>1.875</v>
      </c>
    </row>
    <row r="88" spans="1:15" x14ac:dyDescent="0.25">
      <c r="A88" s="35">
        <v>6.1666666666665497</v>
      </c>
      <c r="E88">
        <f t="shared" si="25"/>
        <v>0</v>
      </c>
      <c r="F88">
        <f t="shared" si="44"/>
        <v>0</v>
      </c>
      <c r="G88">
        <f t="shared" si="38"/>
        <v>0</v>
      </c>
      <c r="I88" s="27">
        <v>52047</v>
      </c>
      <c r="M88">
        <f t="shared" si="41"/>
        <v>0.41249999999999998</v>
      </c>
      <c r="N88">
        <f t="shared" si="43"/>
        <v>0</v>
      </c>
      <c r="O88">
        <f t="shared" si="40"/>
        <v>-0.41249999999999998</v>
      </c>
    </row>
    <row r="89" spans="1:15" x14ac:dyDescent="0.25">
      <c r="A89" s="35">
        <v>6.2499999999998801</v>
      </c>
      <c r="E89">
        <f t="shared" si="25"/>
        <v>0.41249999999999998</v>
      </c>
      <c r="F89">
        <f t="shared" si="44"/>
        <v>0</v>
      </c>
      <c r="G89">
        <f t="shared" si="38"/>
        <v>-0.41249999999999998</v>
      </c>
      <c r="I89" s="27">
        <v>52139</v>
      </c>
      <c r="K89">
        <f t="shared" ref="K89" si="48">$B$2/2*$B$14</f>
        <v>1.875</v>
      </c>
      <c r="M89">
        <f t="shared" si="41"/>
        <v>0</v>
      </c>
      <c r="N89">
        <f t="shared" si="43"/>
        <v>0</v>
      </c>
      <c r="O89">
        <f t="shared" si="40"/>
        <v>1.875</v>
      </c>
    </row>
    <row r="90" spans="1:15" x14ac:dyDescent="0.25">
      <c r="A90" s="35">
        <v>6.3333333333332096</v>
      </c>
      <c r="E90">
        <f t="shared" si="25"/>
        <v>0</v>
      </c>
      <c r="F90">
        <f t="shared" si="44"/>
        <v>0</v>
      </c>
      <c r="G90">
        <f t="shared" si="38"/>
        <v>0</v>
      </c>
      <c r="I90" s="27">
        <v>52231</v>
      </c>
      <c r="M90">
        <f t="shared" si="41"/>
        <v>0.41249999999999998</v>
      </c>
      <c r="N90">
        <f t="shared" si="43"/>
        <v>0</v>
      </c>
      <c r="O90">
        <f t="shared" si="40"/>
        <v>-0.41249999999999998</v>
      </c>
    </row>
    <row r="91" spans="1:15" x14ac:dyDescent="0.25">
      <c r="A91" s="35">
        <v>6.41666666666654</v>
      </c>
      <c r="E91">
        <f t="shared" si="25"/>
        <v>0</v>
      </c>
      <c r="F91">
        <f t="shared" si="44"/>
        <v>0</v>
      </c>
      <c r="G91">
        <f t="shared" si="38"/>
        <v>0</v>
      </c>
      <c r="I91" s="27">
        <v>52321</v>
      </c>
      <c r="K91">
        <f t="shared" ref="K91" si="49">$B$2/2*$B$14</f>
        <v>1.875</v>
      </c>
      <c r="M91">
        <f t="shared" si="41"/>
        <v>0</v>
      </c>
      <c r="N91">
        <f t="shared" si="43"/>
        <v>0</v>
      </c>
      <c r="O91">
        <f t="shared" si="40"/>
        <v>1.875</v>
      </c>
    </row>
    <row r="92" spans="1:15" x14ac:dyDescent="0.25">
      <c r="A92" s="35">
        <v>6.4999999999998703</v>
      </c>
      <c r="C92">
        <f>$B$2/2*$B$14</f>
        <v>1.875</v>
      </c>
      <c r="E92">
        <f t="shared" si="25"/>
        <v>0</v>
      </c>
      <c r="F92">
        <f t="shared" si="44"/>
        <v>0</v>
      </c>
      <c r="G92">
        <f t="shared" si="38"/>
        <v>1.875</v>
      </c>
      <c r="I92" s="27">
        <v>52412</v>
      </c>
      <c r="M92">
        <f t="shared" si="41"/>
        <v>0.41249999999999998</v>
      </c>
      <c r="N92">
        <f t="shared" si="43"/>
        <v>0</v>
      </c>
      <c r="O92">
        <f t="shared" si="40"/>
        <v>-0.41249999999999998</v>
      </c>
    </row>
    <row r="93" spans="1:15" x14ac:dyDescent="0.25">
      <c r="A93" s="35">
        <v>6.5833333333331998</v>
      </c>
      <c r="E93">
        <f t="shared" si="25"/>
        <v>0</v>
      </c>
      <c r="F93">
        <f t="shared" si="44"/>
        <v>0</v>
      </c>
      <c r="G93">
        <f t="shared" si="38"/>
        <v>0</v>
      </c>
      <c r="I93" s="27">
        <v>52473</v>
      </c>
      <c r="K93">
        <f t="shared" ref="K93" si="50">$B$2/2*$B$14</f>
        <v>1.875</v>
      </c>
      <c r="L93" s="18">
        <f>B3*B14</f>
        <v>103.49999999999999</v>
      </c>
      <c r="M93">
        <f t="shared" si="41"/>
        <v>0</v>
      </c>
      <c r="N93">
        <f t="shared" si="43"/>
        <v>0</v>
      </c>
      <c r="O93">
        <f t="shared" si="40"/>
        <v>105.37499999999999</v>
      </c>
    </row>
    <row r="94" spans="1:15" x14ac:dyDescent="0.25">
      <c r="A94" s="35">
        <v>6.6666666666665302</v>
      </c>
      <c r="E94">
        <f t="shared" si="25"/>
        <v>0</v>
      </c>
      <c r="F94">
        <f t="shared" si="44"/>
        <v>0</v>
      </c>
      <c r="G94">
        <f t="shared" si="38"/>
        <v>0</v>
      </c>
      <c r="I94" s="27">
        <v>52596</v>
      </c>
      <c r="M94">
        <f t="shared" si="41"/>
        <v>0.41249999999999998</v>
      </c>
      <c r="N94">
        <f t="shared" si="43"/>
        <v>0</v>
      </c>
      <c r="O94">
        <f t="shared" si="40"/>
        <v>-0.41249999999999998</v>
      </c>
    </row>
    <row r="95" spans="1:15" x14ac:dyDescent="0.25">
      <c r="A95" s="35">
        <v>6.7499999999998597</v>
      </c>
      <c r="E95">
        <f t="shared" si="25"/>
        <v>0.41249999999999998</v>
      </c>
      <c r="F95">
        <f t="shared" si="44"/>
        <v>0</v>
      </c>
      <c r="G95">
        <f t="shared" si="38"/>
        <v>-0.41249999999999998</v>
      </c>
      <c r="I95" s="27">
        <v>52656</v>
      </c>
      <c r="N95">
        <f t="shared" si="43"/>
        <v>0.94499999999999618</v>
      </c>
      <c r="O95">
        <f t="shared" si="40"/>
        <v>-0.94499999999999618</v>
      </c>
    </row>
    <row r="96" spans="1:15" x14ac:dyDescent="0.25">
      <c r="A96" s="35">
        <v>6.83333333333319</v>
      </c>
      <c r="E96">
        <f t="shared" si="25"/>
        <v>0</v>
      </c>
      <c r="F96">
        <f t="shared" si="44"/>
        <v>0</v>
      </c>
      <c r="G96">
        <f t="shared" si="38"/>
        <v>0</v>
      </c>
    </row>
    <row r="97" spans="1:7" x14ac:dyDescent="0.25">
      <c r="A97" s="35">
        <v>6.9166666666665204</v>
      </c>
      <c r="E97">
        <f t="shared" si="25"/>
        <v>0</v>
      </c>
      <c r="F97">
        <f t="shared" si="44"/>
        <v>0</v>
      </c>
      <c r="G97">
        <f t="shared" si="38"/>
        <v>0</v>
      </c>
    </row>
    <row r="98" spans="1:7" x14ac:dyDescent="0.25">
      <c r="A98" s="35">
        <v>6.9999999999998499</v>
      </c>
      <c r="C98">
        <f>$B$2/2*$B$14</f>
        <v>1.875</v>
      </c>
      <c r="E98">
        <f t="shared" si="25"/>
        <v>0</v>
      </c>
      <c r="F98">
        <f t="shared" si="44"/>
        <v>0</v>
      </c>
      <c r="G98">
        <f t="shared" si="38"/>
        <v>1.875</v>
      </c>
    </row>
    <row r="99" spans="1:7" x14ac:dyDescent="0.25">
      <c r="A99" s="35">
        <v>7.0833333333331803</v>
      </c>
      <c r="E99">
        <f t="shared" si="25"/>
        <v>0</v>
      </c>
      <c r="F99">
        <f t="shared" si="44"/>
        <v>0</v>
      </c>
      <c r="G99">
        <f t="shared" si="38"/>
        <v>0</v>
      </c>
    </row>
    <row r="100" spans="1:7" x14ac:dyDescent="0.25">
      <c r="A100" s="35">
        <v>7.1666666666665098</v>
      </c>
      <c r="E100">
        <f t="shared" si="25"/>
        <v>0</v>
      </c>
      <c r="F100">
        <f t="shared" si="44"/>
        <v>0</v>
      </c>
      <c r="G100">
        <f t="shared" si="38"/>
        <v>0</v>
      </c>
    </row>
    <row r="101" spans="1:7" x14ac:dyDescent="0.25">
      <c r="A101" s="35">
        <v>7.2499999999998401</v>
      </c>
      <c r="E101">
        <f t="shared" si="25"/>
        <v>0.41249999999999998</v>
      </c>
      <c r="F101">
        <f t="shared" si="44"/>
        <v>0</v>
      </c>
      <c r="G101">
        <f t="shared" si="38"/>
        <v>-0.41249999999999998</v>
      </c>
    </row>
    <row r="102" spans="1:7" x14ac:dyDescent="0.25">
      <c r="A102" s="35">
        <v>7.3333333333331696</v>
      </c>
      <c r="E102">
        <f t="shared" si="25"/>
        <v>0</v>
      </c>
      <c r="F102">
        <f t="shared" si="44"/>
        <v>0</v>
      </c>
      <c r="G102">
        <f t="shared" si="38"/>
        <v>0</v>
      </c>
    </row>
    <row r="103" spans="1:7" x14ac:dyDescent="0.25">
      <c r="A103" s="35">
        <v>7.4166666666665</v>
      </c>
      <c r="E103">
        <f t="shared" si="25"/>
        <v>0</v>
      </c>
      <c r="F103">
        <f t="shared" si="44"/>
        <v>0</v>
      </c>
      <c r="G103">
        <f t="shared" si="38"/>
        <v>0</v>
      </c>
    </row>
    <row r="104" spans="1:7" x14ac:dyDescent="0.25">
      <c r="A104" s="35">
        <v>7.4999999999998304</v>
      </c>
      <c r="C104">
        <f>$B$2/2*$B$14</f>
        <v>1.875</v>
      </c>
      <c r="E104">
        <f t="shared" si="25"/>
        <v>0</v>
      </c>
      <c r="F104">
        <f t="shared" si="44"/>
        <v>0</v>
      </c>
      <c r="G104">
        <f t="shared" si="38"/>
        <v>1.875</v>
      </c>
    </row>
    <row r="105" spans="1:7" x14ac:dyDescent="0.25">
      <c r="A105" s="35">
        <v>7.5833333333331598</v>
      </c>
      <c r="E105">
        <f t="shared" si="25"/>
        <v>0</v>
      </c>
      <c r="F105">
        <f t="shared" si="44"/>
        <v>0</v>
      </c>
      <c r="G105">
        <f t="shared" si="38"/>
        <v>0</v>
      </c>
    </row>
    <row r="106" spans="1:7" x14ac:dyDescent="0.25">
      <c r="A106" s="35">
        <v>7.6666666666664902</v>
      </c>
      <c r="E106">
        <f t="shared" si="25"/>
        <v>0</v>
      </c>
      <c r="F106">
        <f t="shared" si="44"/>
        <v>0</v>
      </c>
      <c r="G106">
        <f t="shared" si="38"/>
        <v>0</v>
      </c>
    </row>
    <row r="107" spans="1:7" x14ac:dyDescent="0.25">
      <c r="A107" s="35">
        <v>7.7499999999998197</v>
      </c>
      <c r="E107">
        <f t="shared" si="25"/>
        <v>0.41249999999999998</v>
      </c>
      <c r="F107">
        <f t="shared" si="44"/>
        <v>0</v>
      </c>
      <c r="G107">
        <f t="shared" si="38"/>
        <v>-0.41249999999999998</v>
      </c>
    </row>
    <row r="108" spans="1:7" x14ac:dyDescent="0.25">
      <c r="A108" s="35">
        <v>7.8333333333331501</v>
      </c>
      <c r="E108">
        <f t="shared" si="25"/>
        <v>0</v>
      </c>
      <c r="F108">
        <f t="shared" si="44"/>
        <v>0</v>
      </c>
      <c r="G108">
        <f t="shared" si="38"/>
        <v>0</v>
      </c>
    </row>
    <row r="109" spans="1:7" x14ac:dyDescent="0.25">
      <c r="A109" s="35">
        <v>7.9166666666664796</v>
      </c>
      <c r="E109">
        <f t="shared" si="25"/>
        <v>0</v>
      </c>
      <c r="F109">
        <f t="shared" si="44"/>
        <v>0</v>
      </c>
      <c r="G109">
        <f t="shared" si="38"/>
        <v>0</v>
      </c>
    </row>
    <row r="110" spans="1:7" x14ac:dyDescent="0.25">
      <c r="A110" s="35">
        <v>7.9999999999998099</v>
      </c>
      <c r="C110">
        <f>$B$2/2*$B$14</f>
        <v>1.875</v>
      </c>
      <c r="E110">
        <f t="shared" si="25"/>
        <v>0</v>
      </c>
      <c r="F110">
        <f t="shared" si="44"/>
        <v>0</v>
      </c>
      <c r="G110">
        <f t="shared" si="38"/>
        <v>1.875</v>
      </c>
    </row>
    <row r="111" spans="1:7" x14ac:dyDescent="0.25">
      <c r="A111" s="35">
        <v>8.0833333333331403</v>
      </c>
      <c r="E111">
        <f t="shared" si="25"/>
        <v>0</v>
      </c>
      <c r="F111">
        <f t="shared" si="44"/>
        <v>0</v>
      </c>
      <c r="G111">
        <f t="shared" si="38"/>
        <v>0</v>
      </c>
    </row>
    <row r="112" spans="1:7" x14ac:dyDescent="0.25">
      <c r="A112" s="35">
        <v>8.1666666666664707</v>
      </c>
      <c r="E112">
        <f t="shared" si="25"/>
        <v>0</v>
      </c>
      <c r="F112">
        <f t="shared" si="44"/>
        <v>0</v>
      </c>
      <c r="G112">
        <f t="shared" si="38"/>
        <v>0</v>
      </c>
    </row>
    <row r="113" spans="1:7" x14ac:dyDescent="0.25">
      <c r="A113" s="35">
        <v>8.2499999999997993</v>
      </c>
      <c r="E113">
        <f t="shared" si="25"/>
        <v>0.41249999999999998</v>
      </c>
      <c r="F113">
        <f t="shared" si="44"/>
        <v>0</v>
      </c>
      <c r="G113">
        <f t="shared" si="38"/>
        <v>-0.41249999999999998</v>
      </c>
    </row>
    <row r="114" spans="1:7" x14ac:dyDescent="0.25">
      <c r="A114" s="35">
        <v>8.3333333333331296</v>
      </c>
      <c r="E114">
        <f t="shared" si="25"/>
        <v>0</v>
      </c>
      <c r="F114">
        <f t="shared" si="44"/>
        <v>0</v>
      </c>
      <c r="G114">
        <f t="shared" si="38"/>
        <v>0</v>
      </c>
    </row>
    <row r="115" spans="1:7" x14ac:dyDescent="0.25">
      <c r="A115" s="35">
        <v>8.41666666666646</v>
      </c>
      <c r="E115">
        <f t="shared" si="25"/>
        <v>0</v>
      </c>
      <c r="F115">
        <f t="shared" si="44"/>
        <v>0</v>
      </c>
      <c r="G115">
        <f t="shared" si="38"/>
        <v>0</v>
      </c>
    </row>
    <row r="116" spans="1:7" x14ac:dyDescent="0.25">
      <c r="A116" s="35">
        <v>8.4999999999997904</v>
      </c>
      <c r="C116">
        <f>$B$2/2*$B$14</f>
        <v>1.875</v>
      </c>
      <c r="E116">
        <f t="shared" si="25"/>
        <v>0</v>
      </c>
      <c r="F116">
        <f t="shared" si="44"/>
        <v>0</v>
      </c>
      <c r="G116">
        <f t="shared" si="38"/>
        <v>1.875</v>
      </c>
    </row>
    <row r="117" spans="1:7" x14ac:dyDescent="0.25">
      <c r="A117" s="35">
        <v>8.5833333333331208</v>
      </c>
      <c r="E117">
        <f t="shared" si="25"/>
        <v>0</v>
      </c>
      <c r="F117">
        <f t="shared" si="44"/>
        <v>0</v>
      </c>
      <c r="G117">
        <f t="shared" si="38"/>
        <v>0</v>
      </c>
    </row>
    <row r="118" spans="1:7" x14ac:dyDescent="0.25">
      <c r="A118" s="35">
        <v>8.6666666666664494</v>
      </c>
      <c r="E118">
        <f t="shared" si="25"/>
        <v>0</v>
      </c>
      <c r="F118">
        <f t="shared" si="44"/>
        <v>0</v>
      </c>
      <c r="G118">
        <f t="shared" si="38"/>
        <v>0</v>
      </c>
    </row>
    <row r="119" spans="1:7" x14ac:dyDescent="0.25">
      <c r="A119" s="35">
        <v>8.7499999999997797</v>
      </c>
      <c r="E119">
        <f t="shared" ref="E119:E182" si="51">C116*$F$2</f>
        <v>0.41249999999999998</v>
      </c>
      <c r="F119">
        <f t="shared" si="44"/>
        <v>0</v>
      </c>
      <c r="G119">
        <f t="shared" si="38"/>
        <v>-0.41249999999999998</v>
      </c>
    </row>
    <row r="120" spans="1:7" x14ac:dyDescent="0.25">
      <c r="A120" s="35">
        <v>8.8333333333330994</v>
      </c>
      <c r="E120">
        <f t="shared" si="51"/>
        <v>0</v>
      </c>
      <c r="F120">
        <f t="shared" si="44"/>
        <v>0</v>
      </c>
      <c r="G120">
        <f t="shared" si="38"/>
        <v>0</v>
      </c>
    </row>
    <row r="121" spans="1:7" x14ac:dyDescent="0.25">
      <c r="A121" s="35">
        <v>8.9166666666664405</v>
      </c>
      <c r="E121">
        <f t="shared" si="51"/>
        <v>0</v>
      </c>
      <c r="F121">
        <f t="shared" si="44"/>
        <v>0</v>
      </c>
      <c r="G121">
        <f t="shared" si="38"/>
        <v>0</v>
      </c>
    </row>
    <row r="122" spans="1:7" x14ac:dyDescent="0.25">
      <c r="A122" s="35">
        <v>8.9999999999997708</v>
      </c>
      <c r="C122">
        <f>$B$2/2*$B$14</f>
        <v>1.875</v>
      </c>
      <c r="E122">
        <f t="shared" si="51"/>
        <v>0</v>
      </c>
      <c r="F122">
        <f t="shared" si="44"/>
        <v>0</v>
      </c>
      <c r="G122">
        <f t="shared" si="38"/>
        <v>1.875</v>
      </c>
    </row>
    <row r="123" spans="1:7" x14ac:dyDescent="0.25">
      <c r="A123" s="35">
        <v>9.0833333333330994</v>
      </c>
      <c r="E123">
        <f t="shared" si="51"/>
        <v>0</v>
      </c>
      <c r="F123">
        <f t="shared" si="44"/>
        <v>0</v>
      </c>
      <c r="G123">
        <f t="shared" si="38"/>
        <v>0</v>
      </c>
    </row>
    <row r="124" spans="1:7" x14ac:dyDescent="0.25">
      <c r="A124" s="35">
        <v>9.1666666666664192</v>
      </c>
      <c r="E124">
        <f t="shared" si="51"/>
        <v>0</v>
      </c>
      <c r="F124">
        <f t="shared" si="44"/>
        <v>0</v>
      </c>
      <c r="G124">
        <f t="shared" si="38"/>
        <v>0</v>
      </c>
    </row>
    <row r="125" spans="1:7" x14ac:dyDescent="0.25">
      <c r="A125" s="35">
        <v>9.2499999999997495</v>
      </c>
      <c r="E125">
        <f t="shared" si="51"/>
        <v>0.41249999999999998</v>
      </c>
      <c r="F125">
        <f t="shared" si="44"/>
        <v>0</v>
      </c>
      <c r="G125">
        <f t="shared" si="38"/>
        <v>-0.41249999999999998</v>
      </c>
    </row>
    <row r="126" spans="1:7" x14ac:dyDescent="0.25">
      <c r="A126" s="35">
        <v>9.3333333333330906</v>
      </c>
      <c r="E126">
        <f t="shared" si="51"/>
        <v>0</v>
      </c>
      <c r="F126">
        <f t="shared" si="44"/>
        <v>0</v>
      </c>
      <c r="G126">
        <f t="shared" si="38"/>
        <v>0</v>
      </c>
    </row>
    <row r="127" spans="1:7" x14ac:dyDescent="0.25">
      <c r="A127" s="35">
        <v>9.4166666666664103</v>
      </c>
      <c r="E127">
        <f t="shared" si="51"/>
        <v>0</v>
      </c>
      <c r="F127">
        <f t="shared" si="44"/>
        <v>0</v>
      </c>
      <c r="G127">
        <f t="shared" si="38"/>
        <v>0</v>
      </c>
    </row>
    <row r="128" spans="1:7" x14ac:dyDescent="0.25">
      <c r="A128" s="35">
        <v>9.4999999999997407</v>
      </c>
      <c r="C128">
        <f>$B$2/2*$B$14</f>
        <v>1.875</v>
      </c>
      <c r="E128">
        <f t="shared" si="51"/>
        <v>0</v>
      </c>
      <c r="F128">
        <f t="shared" si="44"/>
        <v>0</v>
      </c>
      <c r="G128">
        <f t="shared" si="38"/>
        <v>1.875</v>
      </c>
    </row>
    <row r="129" spans="1:7" x14ac:dyDescent="0.25">
      <c r="A129" s="35">
        <v>9.5833333333330692</v>
      </c>
      <c r="E129">
        <f t="shared" si="51"/>
        <v>0</v>
      </c>
      <c r="F129">
        <f t="shared" si="44"/>
        <v>0</v>
      </c>
      <c r="G129">
        <f t="shared" si="38"/>
        <v>0</v>
      </c>
    </row>
    <row r="130" spans="1:7" x14ac:dyDescent="0.25">
      <c r="A130" s="35">
        <v>9.6666666666663996</v>
      </c>
      <c r="E130">
        <f t="shared" si="51"/>
        <v>0</v>
      </c>
      <c r="F130">
        <f t="shared" si="44"/>
        <v>0</v>
      </c>
      <c r="G130">
        <f t="shared" si="38"/>
        <v>0</v>
      </c>
    </row>
    <row r="131" spans="1:7" x14ac:dyDescent="0.25">
      <c r="A131" s="35">
        <v>9.74999999999973</v>
      </c>
      <c r="E131">
        <f t="shared" si="51"/>
        <v>0.41249999999999998</v>
      </c>
      <c r="F131">
        <f t="shared" si="44"/>
        <v>0</v>
      </c>
      <c r="G131">
        <f t="shared" si="38"/>
        <v>-0.41249999999999998</v>
      </c>
    </row>
    <row r="132" spans="1:7" x14ac:dyDescent="0.25">
      <c r="A132" s="35">
        <v>9.8333333333330604</v>
      </c>
      <c r="E132">
        <f t="shared" si="51"/>
        <v>0</v>
      </c>
      <c r="F132">
        <f t="shared" si="44"/>
        <v>0</v>
      </c>
      <c r="G132">
        <f t="shared" si="38"/>
        <v>0</v>
      </c>
    </row>
    <row r="133" spans="1:7" x14ac:dyDescent="0.25">
      <c r="A133" s="35">
        <v>9.9166666666663907</v>
      </c>
      <c r="E133">
        <f t="shared" si="51"/>
        <v>0</v>
      </c>
      <c r="F133">
        <f t="shared" si="44"/>
        <v>0</v>
      </c>
      <c r="G133">
        <f t="shared" si="38"/>
        <v>0</v>
      </c>
    </row>
    <row r="134" spans="1:7" x14ac:dyDescent="0.25">
      <c r="A134" s="35">
        <v>9.9999999999997193</v>
      </c>
      <c r="C134">
        <f>$B$2/2*$B$14</f>
        <v>1.875</v>
      </c>
      <c r="E134">
        <f t="shared" si="51"/>
        <v>0</v>
      </c>
      <c r="F134">
        <f t="shared" si="44"/>
        <v>0</v>
      </c>
      <c r="G134">
        <f t="shared" si="38"/>
        <v>1.875</v>
      </c>
    </row>
    <row r="135" spans="1:7" x14ac:dyDescent="0.25">
      <c r="A135" s="35">
        <v>10.083333333333</v>
      </c>
      <c r="E135">
        <f t="shared" si="51"/>
        <v>0</v>
      </c>
      <c r="F135">
        <f t="shared" si="44"/>
        <v>0</v>
      </c>
      <c r="G135">
        <f t="shared" si="38"/>
        <v>0</v>
      </c>
    </row>
    <row r="136" spans="1:7" x14ac:dyDescent="0.25">
      <c r="A136" s="35">
        <v>10.1666666666664</v>
      </c>
      <c r="E136">
        <f t="shared" si="51"/>
        <v>0</v>
      </c>
      <c r="F136">
        <f t="shared" si="44"/>
        <v>0</v>
      </c>
      <c r="G136">
        <f t="shared" si="38"/>
        <v>0</v>
      </c>
    </row>
    <row r="137" spans="1:7" x14ac:dyDescent="0.25">
      <c r="A137" s="35">
        <v>10.2499999999997</v>
      </c>
      <c r="E137">
        <f t="shared" si="51"/>
        <v>0.41249999999999998</v>
      </c>
      <c r="F137">
        <f t="shared" si="44"/>
        <v>0</v>
      </c>
      <c r="G137">
        <f t="shared" si="38"/>
        <v>-0.41249999999999998</v>
      </c>
    </row>
    <row r="138" spans="1:7" x14ac:dyDescent="0.25">
      <c r="A138" s="35">
        <v>10.333333333333</v>
      </c>
      <c r="E138">
        <f t="shared" si="51"/>
        <v>0</v>
      </c>
      <c r="F138">
        <f t="shared" si="44"/>
        <v>0</v>
      </c>
      <c r="G138">
        <f t="shared" si="38"/>
        <v>0</v>
      </c>
    </row>
    <row r="139" spans="1:7" x14ac:dyDescent="0.25">
      <c r="A139" s="35">
        <v>10.4166666666664</v>
      </c>
      <c r="E139">
        <f t="shared" si="51"/>
        <v>0</v>
      </c>
      <c r="F139">
        <f t="shared" si="44"/>
        <v>0</v>
      </c>
      <c r="G139">
        <f t="shared" si="38"/>
        <v>0</v>
      </c>
    </row>
    <row r="140" spans="1:7" x14ac:dyDescent="0.25">
      <c r="A140" s="35">
        <v>10.4999999999997</v>
      </c>
      <c r="C140">
        <f>$B$2/2*$B$14</f>
        <v>1.875</v>
      </c>
      <c r="E140">
        <f t="shared" si="51"/>
        <v>0</v>
      </c>
      <c r="F140">
        <f t="shared" si="44"/>
        <v>0</v>
      </c>
      <c r="G140">
        <f t="shared" si="38"/>
        <v>1.875</v>
      </c>
    </row>
    <row r="141" spans="1:7" x14ac:dyDescent="0.25">
      <c r="A141" s="35">
        <v>10.583333333333</v>
      </c>
      <c r="E141">
        <f t="shared" si="51"/>
        <v>0</v>
      </c>
      <c r="F141">
        <f t="shared" si="44"/>
        <v>0</v>
      </c>
      <c r="G141">
        <f t="shared" si="38"/>
        <v>0</v>
      </c>
    </row>
    <row r="142" spans="1:7" x14ac:dyDescent="0.25">
      <c r="A142" s="35">
        <v>10.6666666666664</v>
      </c>
      <c r="E142">
        <f t="shared" si="51"/>
        <v>0</v>
      </c>
      <c r="F142">
        <f t="shared" si="44"/>
        <v>0</v>
      </c>
      <c r="G142">
        <f t="shared" si="38"/>
        <v>0</v>
      </c>
    </row>
    <row r="143" spans="1:7" x14ac:dyDescent="0.25">
      <c r="A143" s="35">
        <v>10.7499999999997</v>
      </c>
      <c r="E143">
        <f t="shared" si="51"/>
        <v>0.41249999999999998</v>
      </c>
      <c r="F143">
        <f t="shared" si="44"/>
        <v>0</v>
      </c>
      <c r="G143">
        <f t="shared" ref="G143:G206" si="52">-B143+C143+D143-E143-F143</f>
        <v>-0.41249999999999998</v>
      </c>
    </row>
    <row r="144" spans="1:7" x14ac:dyDescent="0.25">
      <c r="A144" s="35">
        <v>10.833333333333</v>
      </c>
      <c r="E144">
        <f t="shared" si="51"/>
        <v>0</v>
      </c>
      <c r="F144">
        <f t="shared" si="44"/>
        <v>0</v>
      </c>
      <c r="G144">
        <f t="shared" si="52"/>
        <v>0</v>
      </c>
    </row>
    <row r="145" spans="1:7" x14ac:dyDescent="0.25">
      <c r="A145" s="35">
        <v>10.9166666666663</v>
      </c>
      <c r="E145">
        <f t="shared" si="51"/>
        <v>0</v>
      </c>
      <c r="F145">
        <f t="shared" si="44"/>
        <v>0</v>
      </c>
      <c r="G145">
        <f t="shared" si="52"/>
        <v>0</v>
      </c>
    </row>
    <row r="146" spans="1:7" x14ac:dyDescent="0.25">
      <c r="A146" s="35">
        <v>10.9999999999997</v>
      </c>
      <c r="C146">
        <f>$B$2/2*$B$14</f>
        <v>1.875</v>
      </c>
      <c r="E146">
        <f t="shared" si="51"/>
        <v>0</v>
      </c>
      <c r="F146">
        <f t="shared" si="44"/>
        <v>0</v>
      </c>
      <c r="G146">
        <f t="shared" si="52"/>
        <v>1.875</v>
      </c>
    </row>
    <row r="147" spans="1:7" x14ac:dyDescent="0.25">
      <c r="A147" s="35">
        <v>11.083333333333</v>
      </c>
      <c r="E147">
        <f t="shared" si="51"/>
        <v>0</v>
      </c>
      <c r="F147">
        <f t="shared" ref="F147:F210" si="53">MAX(D142-$B$14,0)*$F$3</f>
        <v>0</v>
      </c>
      <c r="G147">
        <f t="shared" si="52"/>
        <v>0</v>
      </c>
    </row>
    <row r="148" spans="1:7" x14ac:dyDescent="0.25">
      <c r="A148" s="35">
        <v>11.1666666666663</v>
      </c>
      <c r="E148">
        <f t="shared" si="51"/>
        <v>0</v>
      </c>
      <c r="F148">
        <f t="shared" si="53"/>
        <v>0</v>
      </c>
      <c r="G148">
        <f t="shared" si="52"/>
        <v>0</v>
      </c>
    </row>
    <row r="149" spans="1:7" x14ac:dyDescent="0.25">
      <c r="A149" s="35">
        <v>11.2499999999997</v>
      </c>
      <c r="E149">
        <f t="shared" si="51"/>
        <v>0.41249999999999998</v>
      </c>
      <c r="F149">
        <f t="shared" si="53"/>
        <v>0</v>
      </c>
      <c r="G149">
        <f t="shared" si="52"/>
        <v>-0.41249999999999998</v>
      </c>
    </row>
    <row r="150" spans="1:7" x14ac:dyDescent="0.25">
      <c r="A150" s="35">
        <v>11.333333333333</v>
      </c>
      <c r="E150">
        <f t="shared" si="51"/>
        <v>0</v>
      </c>
      <c r="F150">
        <f t="shared" si="53"/>
        <v>0</v>
      </c>
      <c r="G150">
        <f t="shared" si="52"/>
        <v>0</v>
      </c>
    </row>
    <row r="151" spans="1:7" x14ac:dyDescent="0.25">
      <c r="A151" s="35">
        <v>11.4166666666663</v>
      </c>
      <c r="E151">
        <f t="shared" si="51"/>
        <v>0</v>
      </c>
      <c r="F151">
        <f t="shared" si="53"/>
        <v>0</v>
      </c>
      <c r="G151">
        <f t="shared" si="52"/>
        <v>0</v>
      </c>
    </row>
    <row r="152" spans="1:7" x14ac:dyDescent="0.25">
      <c r="A152" s="35">
        <v>11.4999999999997</v>
      </c>
      <c r="C152">
        <f>$B$2/2*$B$14</f>
        <v>1.875</v>
      </c>
      <c r="E152">
        <f t="shared" si="51"/>
        <v>0</v>
      </c>
      <c r="F152">
        <f t="shared" si="53"/>
        <v>0</v>
      </c>
      <c r="G152">
        <f t="shared" si="52"/>
        <v>1.875</v>
      </c>
    </row>
    <row r="153" spans="1:7" x14ac:dyDescent="0.25">
      <c r="A153" s="35">
        <v>11.583333333333</v>
      </c>
      <c r="E153">
        <f t="shared" si="51"/>
        <v>0</v>
      </c>
      <c r="F153">
        <f t="shared" si="53"/>
        <v>0</v>
      </c>
      <c r="G153">
        <f t="shared" si="52"/>
        <v>0</v>
      </c>
    </row>
    <row r="154" spans="1:7" x14ac:dyDescent="0.25">
      <c r="A154" s="35">
        <v>11.6666666666663</v>
      </c>
      <c r="E154">
        <f t="shared" si="51"/>
        <v>0</v>
      </c>
      <c r="F154">
        <f t="shared" si="53"/>
        <v>0</v>
      </c>
      <c r="G154">
        <f t="shared" si="52"/>
        <v>0</v>
      </c>
    </row>
    <row r="155" spans="1:7" x14ac:dyDescent="0.25">
      <c r="A155" s="35">
        <v>11.7499999999997</v>
      </c>
      <c r="E155">
        <f t="shared" si="51"/>
        <v>0.41249999999999998</v>
      </c>
      <c r="F155">
        <f t="shared" si="53"/>
        <v>0</v>
      </c>
      <c r="G155">
        <f t="shared" si="52"/>
        <v>-0.41249999999999998</v>
      </c>
    </row>
    <row r="156" spans="1:7" x14ac:dyDescent="0.25">
      <c r="A156" s="35">
        <v>11.833333333333</v>
      </c>
      <c r="E156">
        <f t="shared" si="51"/>
        <v>0</v>
      </c>
      <c r="F156">
        <f t="shared" si="53"/>
        <v>0</v>
      </c>
      <c r="G156">
        <f t="shared" si="52"/>
        <v>0</v>
      </c>
    </row>
    <row r="157" spans="1:7" x14ac:dyDescent="0.25">
      <c r="A157" s="35">
        <v>11.9166666666663</v>
      </c>
      <c r="E157">
        <f t="shared" si="51"/>
        <v>0</v>
      </c>
      <c r="F157">
        <f t="shared" si="53"/>
        <v>0</v>
      </c>
      <c r="G157">
        <f t="shared" si="52"/>
        <v>0</v>
      </c>
    </row>
    <row r="158" spans="1:7" x14ac:dyDescent="0.25">
      <c r="A158" s="35">
        <v>11.9999999999996</v>
      </c>
      <c r="C158">
        <f>$B$2/2*$B$14</f>
        <v>1.875</v>
      </c>
      <c r="E158">
        <f t="shared" si="51"/>
        <v>0</v>
      </c>
      <c r="F158">
        <f t="shared" si="53"/>
        <v>0</v>
      </c>
      <c r="G158">
        <f t="shared" si="52"/>
        <v>1.875</v>
      </c>
    </row>
    <row r="159" spans="1:7" x14ac:dyDescent="0.25">
      <c r="A159" s="35">
        <v>12.083333333333</v>
      </c>
      <c r="E159">
        <f t="shared" si="51"/>
        <v>0</v>
      </c>
      <c r="F159">
        <f t="shared" si="53"/>
        <v>0</v>
      </c>
      <c r="G159">
        <f t="shared" si="52"/>
        <v>0</v>
      </c>
    </row>
    <row r="160" spans="1:7" x14ac:dyDescent="0.25">
      <c r="A160" s="35">
        <v>12.1666666666663</v>
      </c>
      <c r="E160">
        <f t="shared" si="51"/>
        <v>0</v>
      </c>
      <c r="F160">
        <f t="shared" si="53"/>
        <v>0</v>
      </c>
      <c r="G160">
        <f t="shared" si="52"/>
        <v>0</v>
      </c>
    </row>
    <row r="161" spans="1:7" x14ac:dyDescent="0.25">
      <c r="A161" s="35">
        <v>12.2499999999996</v>
      </c>
      <c r="E161">
        <f t="shared" si="51"/>
        <v>0.41249999999999998</v>
      </c>
      <c r="F161">
        <f t="shared" si="53"/>
        <v>0</v>
      </c>
      <c r="G161">
        <f t="shared" si="52"/>
        <v>-0.41249999999999998</v>
      </c>
    </row>
    <row r="162" spans="1:7" x14ac:dyDescent="0.25">
      <c r="A162" s="35">
        <v>12.333333333333</v>
      </c>
      <c r="E162">
        <f t="shared" si="51"/>
        <v>0</v>
      </c>
      <c r="F162">
        <f t="shared" si="53"/>
        <v>0</v>
      </c>
      <c r="G162">
        <f t="shared" si="52"/>
        <v>0</v>
      </c>
    </row>
    <row r="163" spans="1:7" x14ac:dyDescent="0.25">
      <c r="A163" s="35">
        <v>12.4166666666663</v>
      </c>
      <c r="E163">
        <f t="shared" si="51"/>
        <v>0</v>
      </c>
      <c r="F163">
        <f t="shared" si="53"/>
        <v>0</v>
      </c>
      <c r="G163">
        <f t="shared" si="52"/>
        <v>0</v>
      </c>
    </row>
    <row r="164" spans="1:7" x14ac:dyDescent="0.25">
      <c r="A164" s="35">
        <v>12.4999999999996</v>
      </c>
      <c r="C164">
        <f>$B$2/2*$B$14</f>
        <v>1.875</v>
      </c>
      <c r="E164">
        <f t="shared" si="51"/>
        <v>0</v>
      </c>
      <c r="F164">
        <f t="shared" si="53"/>
        <v>0</v>
      </c>
      <c r="G164">
        <f t="shared" si="52"/>
        <v>1.875</v>
      </c>
    </row>
    <row r="165" spans="1:7" x14ac:dyDescent="0.25">
      <c r="A165" s="35">
        <v>12.583333333333</v>
      </c>
      <c r="E165">
        <f t="shared" si="51"/>
        <v>0</v>
      </c>
      <c r="F165">
        <f t="shared" si="53"/>
        <v>0</v>
      </c>
      <c r="G165">
        <f t="shared" si="52"/>
        <v>0</v>
      </c>
    </row>
    <row r="166" spans="1:7" x14ac:dyDescent="0.25">
      <c r="A166" s="35">
        <v>12.6666666666663</v>
      </c>
      <c r="E166">
        <f t="shared" si="51"/>
        <v>0</v>
      </c>
      <c r="F166">
        <f t="shared" si="53"/>
        <v>0</v>
      </c>
      <c r="G166">
        <f t="shared" si="52"/>
        <v>0</v>
      </c>
    </row>
    <row r="167" spans="1:7" x14ac:dyDescent="0.25">
      <c r="A167" s="35">
        <v>12.7499999999996</v>
      </c>
      <c r="E167">
        <f t="shared" si="51"/>
        <v>0.41249999999999998</v>
      </c>
      <c r="F167">
        <f t="shared" si="53"/>
        <v>0</v>
      </c>
      <c r="G167">
        <f t="shared" si="52"/>
        <v>-0.41249999999999998</v>
      </c>
    </row>
    <row r="168" spans="1:7" x14ac:dyDescent="0.25">
      <c r="A168" s="35">
        <v>12.8333333333329</v>
      </c>
      <c r="E168">
        <f t="shared" si="51"/>
        <v>0</v>
      </c>
      <c r="F168">
        <f t="shared" si="53"/>
        <v>0</v>
      </c>
      <c r="G168">
        <f t="shared" si="52"/>
        <v>0</v>
      </c>
    </row>
    <row r="169" spans="1:7" x14ac:dyDescent="0.25">
      <c r="A169" s="35">
        <v>12.9166666666663</v>
      </c>
      <c r="E169">
        <f t="shared" si="51"/>
        <v>0</v>
      </c>
      <c r="F169">
        <f t="shared" si="53"/>
        <v>0</v>
      </c>
      <c r="G169">
        <f t="shared" si="52"/>
        <v>0</v>
      </c>
    </row>
    <row r="170" spans="1:7" x14ac:dyDescent="0.25">
      <c r="A170" s="35">
        <v>12.9999999999996</v>
      </c>
      <c r="C170">
        <f>$B$2/2*$B$14</f>
        <v>1.875</v>
      </c>
      <c r="E170">
        <f t="shared" si="51"/>
        <v>0</v>
      </c>
      <c r="F170">
        <f t="shared" si="53"/>
        <v>0</v>
      </c>
      <c r="G170">
        <f t="shared" si="52"/>
        <v>1.875</v>
      </c>
    </row>
    <row r="171" spans="1:7" x14ac:dyDescent="0.25">
      <c r="A171" s="35">
        <v>13.0833333333329</v>
      </c>
      <c r="E171">
        <f t="shared" si="51"/>
        <v>0</v>
      </c>
      <c r="F171">
        <f t="shared" si="53"/>
        <v>0</v>
      </c>
      <c r="G171">
        <f t="shared" si="52"/>
        <v>0</v>
      </c>
    </row>
    <row r="172" spans="1:7" x14ac:dyDescent="0.25">
      <c r="A172" s="35">
        <v>13.1666666666663</v>
      </c>
      <c r="E172">
        <f t="shared" si="51"/>
        <v>0</v>
      </c>
      <c r="F172">
        <f t="shared" si="53"/>
        <v>0</v>
      </c>
      <c r="G172">
        <f t="shared" si="52"/>
        <v>0</v>
      </c>
    </row>
    <row r="173" spans="1:7" x14ac:dyDescent="0.25">
      <c r="A173" s="35">
        <v>13.2499999999996</v>
      </c>
      <c r="E173">
        <f t="shared" si="51"/>
        <v>0.41249999999999998</v>
      </c>
      <c r="F173">
        <f t="shared" si="53"/>
        <v>0</v>
      </c>
      <c r="G173">
        <f t="shared" si="52"/>
        <v>-0.41249999999999998</v>
      </c>
    </row>
    <row r="174" spans="1:7" x14ac:dyDescent="0.25">
      <c r="A174" s="35">
        <v>13.3333333333329</v>
      </c>
      <c r="E174">
        <f t="shared" si="51"/>
        <v>0</v>
      </c>
      <c r="F174">
        <f t="shared" si="53"/>
        <v>0</v>
      </c>
      <c r="G174">
        <f t="shared" si="52"/>
        <v>0</v>
      </c>
    </row>
    <row r="175" spans="1:7" x14ac:dyDescent="0.25">
      <c r="A175" s="35">
        <v>13.4166666666663</v>
      </c>
      <c r="E175">
        <f t="shared" si="51"/>
        <v>0</v>
      </c>
      <c r="F175">
        <f t="shared" si="53"/>
        <v>0</v>
      </c>
      <c r="G175">
        <f t="shared" si="52"/>
        <v>0</v>
      </c>
    </row>
    <row r="176" spans="1:7" x14ac:dyDescent="0.25">
      <c r="A176" s="35">
        <v>13.4999999999996</v>
      </c>
      <c r="C176">
        <f>$B$2/2*$B$14</f>
        <v>1.875</v>
      </c>
      <c r="E176">
        <f t="shared" si="51"/>
        <v>0</v>
      </c>
      <c r="F176">
        <f t="shared" si="53"/>
        <v>0</v>
      </c>
      <c r="G176">
        <f t="shared" si="52"/>
        <v>1.875</v>
      </c>
    </row>
    <row r="177" spans="1:7" x14ac:dyDescent="0.25">
      <c r="A177" s="35">
        <v>13.5833333333329</v>
      </c>
      <c r="E177">
        <f t="shared" si="51"/>
        <v>0</v>
      </c>
      <c r="F177">
        <f t="shared" si="53"/>
        <v>0</v>
      </c>
      <c r="G177">
        <f t="shared" si="52"/>
        <v>0</v>
      </c>
    </row>
    <row r="178" spans="1:7" x14ac:dyDescent="0.25">
      <c r="A178" s="35">
        <v>13.666666666666201</v>
      </c>
      <c r="E178">
        <f t="shared" si="51"/>
        <v>0</v>
      </c>
      <c r="F178">
        <f t="shared" si="53"/>
        <v>0</v>
      </c>
      <c r="G178">
        <f t="shared" si="52"/>
        <v>0</v>
      </c>
    </row>
    <row r="179" spans="1:7" x14ac:dyDescent="0.25">
      <c r="A179" s="35">
        <v>13.7499999999996</v>
      </c>
      <c r="E179">
        <f t="shared" si="51"/>
        <v>0.41249999999999998</v>
      </c>
      <c r="F179">
        <f t="shared" si="53"/>
        <v>0</v>
      </c>
      <c r="G179">
        <f t="shared" si="52"/>
        <v>-0.41249999999999998</v>
      </c>
    </row>
    <row r="180" spans="1:7" x14ac:dyDescent="0.25">
      <c r="A180" s="35">
        <v>13.8333333333329</v>
      </c>
      <c r="E180">
        <f t="shared" si="51"/>
        <v>0</v>
      </c>
      <c r="F180">
        <f t="shared" si="53"/>
        <v>0</v>
      </c>
      <c r="G180">
        <f t="shared" si="52"/>
        <v>0</v>
      </c>
    </row>
    <row r="181" spans="1:7" x14ac:dyDescent="0.25">
      <c r="A181" s="35">
        <v>13.916666666666201</v>
      </c>
      <c r="E181">
        <f t="shared" si="51"/>
        <v>0</v>
      </c>
      <c r="F181">
        <f t="shared" si="53"/>
        <v>0</v>
      </c>
      <c r="G181">
        <f t="shared" si="52"/>
        <v>0</v>
      </c>
    </row>
    <row r="182" spans="1:7" x14ac:dyDescent="0.25">
      <c r="A182" s="35">
        <v>13.9999999999996</v>
      </c>
      <c r="C182">
        <f>$B$2/2*$B$14</f>
        <v>1.875</v>
      </c>
      <c r="E182">
        <f t="shared" si="51"/>
        <v>0</v>
      </c>
      <c r="F182">
        <f t="shared" si="53"/>
        <v>0</v>
      </c>
      <c r="G182">
        <f t="shared" si="52"/>
        <v>1.875</v>
      </c>
    </row>
    <row r="183" spans="1:7" x14ac:dyDescent="0.25">
      <c r="A183" s="35">
        <v>14.0833333333329</v>
      </c>
      <c r="E183">
        <f t="shared" ref="E183:E246" si="54">C180*$F$2</f>
        <v>0</v>
      </c>
      <c r="F183">
        <f t="shared" si="53"/>
        <v>0</v>
      </c>
      <c r="G183">
        <f t="shared" si="52"/>
        <v>0</v>
      </c>
    </row>
    <row r="184" spans="1:7" x14ac:dyDescent="0.25">
      <c r="A184" s="35">
        <v>14.166666666666201</v>
      </c>
      <c r="E184">
        <f t="shared" si="54"/>
        <v>0</v>
      </c>
      <c r="F184">
        <f t="shared" si="53"/>
        <v>0</v>
      </c>
      <c r="G184">
        <f t="shared" si="52"/>
        <v>0</v>
      </c>
    </row>
    <row r="185" spans="1:7" x14ac:dyDescent="0.25">
      <c r="A185" s="35">
        <v>14.2499999999996</v>
      </c>
      <c r="E185">
        <f t="shared" si="54"/>
        <v>0.41249999999999998</v>
      </c>
      <c r="F185">
        <f t="shared" si="53"/>
        <v>0</v>
      </c>
      <c r="G185">
        <f t="shared" si="52"/>
        <v>-0.41249999999999998</v>
      </c>
    </row>
    <row r="186" spans="1:7" x14ac:dyDescent="0.25">
      <c r="A186" s="35">
        <v>14.3333333333329</v>
      </c>
      <c r="E186">
        <f t="shared" si="54"/>
        <v>0</v>
      </c>
      <c r="F186">
        <f t="shared" si="53"/>
        <v>0</v>
      </c>
      <c r="G186">
        <f t="shared" si="52"/>
        <v>0</v>
      </c>
    </row>
    <row r="187" spans="1:7" x14ac:dyDescent="0.25">
      <c r="A187" s="35">
        <v>14.416666666666201</v>
      </c>
      <c r="E187">
        <f t="shared" si="54"/>
        <v>0</v>
      </c>
      <c r="F187">
        <f t="shared" si="53"/>
        <v>0</v>
      </c>
      <c r="G187">
        <f t="shared" si="52"/>
        <v>0</v>
      </c>
    </row>
    <row r="188" spans="1:7" x14ac:dyDescent="0.25">
      <c r="A188" s="35">
        <v>14.499999999999501</v>
      </c>
      <c r="C188">
        <f>$B$2/2*$B$14</f>
        <v>1.875</v>
      </c>
      <c r="E188">
        <f t="shared" si="54"/>
        <v>0</v>
      </c>
      <c r="F188">
        <f t="shared" si="53"/>
        <v>0</v>
      </c>
      <c r="G188">
        <f t="shared" si="52"/>
        <v>1.875</v>
      </c>
    </row>
    <row r="189" spans="1:7" x14ac:dyDescent="0.25">
      <c r="A189" s="35">
        <v>14.5833333333329</v>
      </c>
      <c r="E189">
        <f t="shared" si="54"/>
        <v>0</v>
      </c>
      <c r="F189">
        <f t="shared" si="53"/>
        <v>0</v>
      </c>
      <c r="G189">
        <f t="shared" si="52"/>
        <v>0</v>
      </c>
    </row>
    <row r="190" spans="1:7" x14ac:dyDescent="0.25">
      <c r="A190" s="35">
        <v>14.666666666666201</v>
      </c>
      <c r="E190">
        <f t="shared" si="54"/>
        <v>0</v>
      </c>
      <c r="F190">
        <f t="shared" si="53"/>
        <v>0</v>
      </c>
      <c r="G190">
        <f t="shared" si="52"/>
        <v>0</v>
      </c>
    </row>
    <row r="191" spans="1:7" x14ac:dyDescent="0.25">
      <c r="A191" s="35">
        <v>14.749999999999501</v>
      </c>
      <c r="E191">
        <f t="shared" si="54"/>
        <v>0.41249999999999998</v>
      </c>
      <c r="F191">
        <f t="shared" si="53"/>
        <v>0</v>
      </c>
      <c r="G191">
        <f t="shared" si="52"/>
        <v>-0.41249999999999998</v>
      </c>
    </row>
    <row r="192" spans="1:7" x14ac:dyDescent="0.25">
      <c r="A192" s="35">
        <v>14.8333333333329</v>
      </c>
      <c r="E192">
        <f t="shared" si="54"/>
        <v>0</v>
      </c>
      <c r="F192">
        <f t="shared" si="53"/>
        <v>0</v>
      </c>
      <c r="G192">
        <f t="shared" si="52"/>
        <v>0</v>
      </c>
    </row>
    <row r="193" spans="1:7" x14ac:dyDescent="0.25">
      <c r="A193" s="35">
        <v>14.916666666666201</v>
      </c>
      <c r="E193">
        <f t="shared" si="54"/>
        <v>0</v>
      </c>
      <c r="F193">
        <f t="shared" si="53"/>
        <v>0</v>
      </c>
      <c r="G193">
        <f t="shared" si="52"/>
        <v>0</v>
      </c>
    </row>
    <row r="194" spans="1:7" x14ac:dyDescent="0.25">
      <c r="A194" s="35">
        <v>14.999999999999501</v>
      </c>
      <c r="C194">
        <f>$B$2/2*$B$14</f>
        <v>1.875</v>
      </c>
      <c r="E194">
        <f t="shared" si="54"/>
        <v>0</v>
      </c>
      <c r="F194">
        <f t="shared" si="53"/>
        <v>0</v>
      </c>
      <c r="G194">
        <f t="shared" si="52"/>
        <v>1.875</v>
      </c>
    </row>
    <row r="195" spans="1:7" x14ac:dyDescent="0.25">
      <c r="A195" s="35">
        <v>15.083333333332799</v>
      </c>
      <c r="E195">
        <f t="shared" si="54"/>
        <v>0</v>
      </c>
      <c r="F195">
        <f t="shared" si="53"/>
        <v>0</v>
      </c>
      <c r="G195">
        <f t="shared" si="52"/>
        <v>0</v>
      </c>
    </row>
    <row r="196" spans="1:7" x14ac:dyDescent="0.25">
      <c r="A196" s="35">
        <v>15.166666666666201</v>
      </c>
      <c r="E196">
        <f t="shared" si="54"/>
        <v>0</v>
      </c>
      <c r="F196">
        <f t="shared" si="53"/>
        <v>0</v>
      </c>
      <c r="G196">
        <f t="shared" si="52"/>
        <v>0</v>
      </c>
    </row>
    <row r="197" spans="1:7" x14ac:dyDescent="0.25">
      <c r="A197" s="35">
        <v>15.249999999999501</v>
      </c>
      <c r="E197">
        <f t="shared" si="54"/>
        <v>0.41249999999999998</v>
      </c>
      <c r="F197">
        <f t="shared" si="53"/>
        <v>0</v>
      </c>
      <c r="G197">
        <f t="shared" si="52"/>
        <v>-0.41249999999999998</v>
      </c>
    </row>
    <row r="198" spans="1:7" x14ac:dyDescent="0.25">
      <c r="A198" s="35">
        <v>15.333333333332799</v>
      </c>
      <c r="E198">
        <f t="shared" si="54"/>
        <v>0</v>
      </c>
      <c r="F198">
        <f t="shared" si="53"/>
        <v>0</v>
      </c>
      <c r="G198">
        <f t="shared" si="52"/>
        <v>0</v>
      </c>
    </row>
    <row r="199" spans="1:7" x14ac:dyDescent="0.25">
      <c r="A199" s="35">
        <v>15.416666666666201</v>
      </c>
      <c r="E199">
        <f t="shared" si="54"/>
        <v>0</v>
      </c>
      <c r="F199">
        <f t="shared" si="53"/>
        <v>0</v>
      </c>
      <c r="G199">
        <f t="shared" si="52"/>
        <v>0</v>
      </c>
    </row>
    <row r="200" spans="1:7" x14ac:dyDescent="0.25">
      <c r="A200" s="35">
        <v>15.499999999999501</v>
      </c>
      <c r="C200">
        <f>$B$2/2*$B$14</f>
        <v>1.875</v>
      </c>
      <c r="E200">
        <f t="shared" si="54"/>
        <v>0</v>
      </c>
      <c r="F200">
        <f t="shared" si="53"/>
        <v>0</v>
      </c>
      <c r="G200">
        <f t="shared" si="52"/>
        <v>1.875</v>
      </c>
    </row>
    <row r="201" spans="1:7" x14ac:dyDescent="0.25">
      <c r="A201" s="35">
        <v>15.583333333332799</v>
      </c>
      <c r="E201">
        <f t="shared" si="54"/>
        <v>0</v>
      </c>
      <c r="F201">
        <f t="shared" si="53"/>
        <v>0</v>
      </c>
      <c r="G201">
        <f t="shared" si="52"/>
        <v>0</v>
      </c>
    </row>
    <row r="202" spans="1:7" x14ac:dyDescent="0.25">
      <c r="A202" s="35">
        <v>15.666666666666201</v>
      </c>
      <c r="E202">
        <f t="shared" si="54"/>
        <v>0</v>
      </c>
      <c r="F202">
        <f t="shared" si="53"/>
        <v>0</v>
      </c>
      <c r="G202">
        <f t="shared" si="52"/>
        <v>0</v>
      </c>
    </row>
    <row r="203" spans="1:7" x14ac:dyDescent="0.25">
      <c r="A203" s="35">
        <v>15.749999999999501</v>
      </c>
      <c r="E203">
        <f t="shared" si="54"/>
        <v>0.41249999999999998</v>
      </c>
      <c r="F203">
        <f t="shared" si="53"/>
        <v>0</v>
      </c>
      <c r="G203">
        <f t="shared" si="52"/>
        <v>-0.41249999999999998</v>
      </c>
    </row>
    <row r="204" spans="1:7" x14ac:dyDescent="0.25">
      <c r="A204" s="35">
        <v>15.833333333332799</v>
      </c>
      <c r="E204">
        <f t="shared" si="54"/>
        <v>0</v>
      </c>
      <c r="F204">
        <f t="shared" si="53"/>
        <v>0</v>
      </c>
      <c r="G204">
        <f t="shared" si="52"/>
        <v>0</v>
      </c>
    </row>
    <row r="205" spans="1:7" x14ac:dyDescent="0.25">
      <c r="A205" s="35">
        <v>15.916666666666099</v>
      </c>
      <c r="E205">
        <f t="shared" si="54"/>
        <v>0</v>
      </c>
      <c r="F205">
        <f t="shared" si="53"/>
        <v>0</v>
      </c>
      <c r="G205">
        <f t="shared" si="52"/>
        <v>0</v>
      </c>
    </row>
    <row r="206" spans="1:7" x14ac:dyDescent="0.25">
      <c r="A206" s="35">
        <v>15.999999999999501</v>
      </c>
      <c r="C206">
        <f>$B$2/2*$B$14</f>
        <v>1.875</v>
      </c>
      <c r="E206">
        <f t="shared" si="54"/>
        <v>0</v>
      </c>
      <c r="F206">
        <f t="shared" si="53"/>
        <v>0</v>
      </c>
      <c r="G206">
        <f t="shared" si="52"/>
        <v>1.875</v>
      </c>
    </row>
    <row r="207" spans="1:7" x14ac:dyDescent="0.25">
      <c r="A207" s="35">
        <v>16.083333333332799</v>
      </c>
      <c r="E207">
        <f t="shared" si="54"/>
        <v>0</v>
      </c>
      <c r="F207">
        <f t="shared" si="53"/>
        <v>0</v>
      </c>
      <c r="G207">
        <f t="shared" ref="G207:G259" si="55">-B207+C207+D207-E207-F207</f>
        <v>0</v>
      </c>
    </row>
    <row r="208" spans="1:7" x14ac:dyDescent="0.25">
      <c r="A208" s="35">
        <v>16.166666666666099</v>
      </c>
      <c r="E208">
        <f t="shared" si="54"/>
        <v>0</v>
      </c>
      <c r="F208">
        <f t="shared" si="53"/>
        <v>0</v>
      </c>
      <c r="G208">
        <f t="shared" si="55"/>
        <v>0</v>
      </c>
    </row>
    <row r="209" spans="1:7" x14ac:dyDescent="0.25">
      <c r="A209" s="35">
        <v>16.249999999999499</v>
      </c>
      <c r="E209">
        <f t="shared" si="54"/>
        <v>0.41249999999999998</v>
      </c>
      <c r="F209">
        <f t="shared" si="53"/>
        <v>0</v>
      </c>
      <c r="G209">
        <f t="shared" si="55"/>
        <v>-0.41249999999999998</v>
      </c>
    </row>
    <row r="210" spans="1:7" x14ac:dyDescent="0.25">
      <c r="A210" s="35">
        <v>16.333333333332799</v>
      </c>
      <c r="E210">
        <f t="shared" si="54"/>
        <v>0</v>
      </c>
      <c r="F210">
        <f t="shared" si="53"/>
        <v>0</v>
      </c>
      <c r="G210">
        <f t="shared" si="55"/>
        <v>0</v>
      </c>
    </row>
    <row r="211" spans="1:7" x14ac:dyDescent="0.25">
      <c r="A211" s="35">
        <v>16.416666666666099</v>
      </c>
      <c r="E211">
        <f t="shared" si="54"/>
        <v>0</v>
      </c>
      <c r="F211">
        <f t="shared" ref="F211:F259" si="56">MAX(D206-$B$14,0)*$F$3</f>
        <v>0</v>
      </c>
      <c r="G211">
        <f t="shared" si="55"/>
        <v>0</v>
      </c>
    </row>
    <row r="212" spans="1:7" x14ac:dyDescent="0.25">
      <c r="A212" s="35">
        <v>16.499999999999499</v>
      </c>
      <c r="C212">
        <f>$B$2/2*$B$14</f>
        <v>1.875</v>
      </c>
      <c r="E212">
        <f t="shared" si="54"/>
        <v>0</v>
      </c>
      <c r="F212">
        <f t="shared" si="56"/>
        <v>0</v>
      </c>
      <c r="G212">
        <f t="shared" si="55"/>
        <v>1.875</v>
      </c>
    </row>
    <row r="213" spans="1:7" x14ac:dyDescent="0.25">
      <c r="A213" s="35">
        <v>16.583333333332799</v>
      </c>
      <c r="E213">
        <f t="shared" si="54"/>
        <v>0</v>
      </c>
      <c r="F213">
        <f t="shared" si="56"/>
        <v>0</v>
      </c>
      <c r="G213">
        <f t="shared" si="55"/>
        <v>0</v>
      </c>
    </row>
    <row r="214" spans="1:7" x14ac:dyDescent="0.25">
      <c r="A214" s="35">
        <v>16.666666666666099</v>
      </c>
      <c r="E214">
        <f t="shared" si="54"/>
        <v>0</v>
      </c>
      <c r="F214">
        <f t="shared" si="56"/>
        <v>0</v>
      </c>
      <c r="G214">
        <f t="shared" si="55"/>
        <v>0</v>
      </c>
    </row>
    <row r="215" spans="1:7" x14ac:dyDescent="0.25">
      <c r="A215" s="35">
        <v>16.7499999999994</v>
      </c>
      <c r="E215">
        <f t="shared" si="54"/>
        <v>0.41249999999999998</v>
      </c>
      <c r="F215">
        <f t="shared" si="56"/>
        <v>0</v>
      </c>
      <c r="G215">
        <f t="shared" si="55"/>
        <v>-0.41249999999999998</v>
      </c>
    </row>
    <row r="216" spans="1:7" x14ac:dyDescent="0.25">
      <c r="A216" s="35">
        <v>16.833333333332799</v>
      </c>
      <c r="E216">
        <f t="shared" si="54"/>
        <v>0</v>
      </c>
      <c r="F216">
        <f t="shared" si="56"/>
        <v>0</v>
      </c>
      <c r="G216">
        <f t="shared" si="55"/>
        <v>0</v>
      </c>
    </row>
    <row r="217" spans="1:7" x14ac:dyDescent="0.25">
      <c r="A217" s="35">
        <v>16.916666666666099</v>
      </c>
      <c r="E217">
        <f t="shared" si="54"/>
        <v>0</v>
      </c>
      <c r="F217">
        <f t="shared" si="56"/>
        <v>0</v>
      </c>
      <c r="G217">
        <f t="shared" si="55"/>
        <v>0</v>
      </c>
    </row>
    <row r="218" spans="1:7" x14ac:dyDescent="0.25">
      <c r="A218" s="35">
        <v>16.9999999999994</v>
      </c>
      <c r="C218">
        <f>$B$2/2*$B$14</f>
        <v>1.875</v>
      </c>
      <c r="E218">
        <f t="shared" si="54"/>
        <v>0</v>
      </c>
      <c r="F218">
        <f t="shared" si="56"/>
        <v>0</v>
      </c>
      <c r="G218">
        <f t="shared" si="55"/>
        <v>1.875</v>
      </c>
    </row>
    <row r="219" spans="1:7" x14ac:dyDescent="0.25">
      <c r="A219" s="35">
        <v>17.083333333332799</v>
      </c>
      <c r="E219">
        <f t="shared" si="54"/>
        <v>0</v>
      </c>
      <c r="F219">
        <f t="shared" si="56"/>
        <v>0</v>
      </c>
      <c r="G219">
        <f t="shared" si="55"/>
        <v>0</v>
      </c>
    </row>
    <row r="220" spans="1:7" x14ac:dyDescent="0.25">
      <c r="A220" s="35">
        <v>17.166666666666099</v>
      </c>
      <c r="E220">
        <f t="shared" si="54"/>
        <v>0</v>
      </c>
      <c r="F220">
        <f t="shared" si="56"/>
        <v>0</v>
      </c>
      <c r="G220">
        <f t="shared" si="55"/>
        <v>0</v>
      </c>
    </row>
    <row r="221" spans="1:7" x14ac:dyDescent="0.25">
      <c r="A221" s="35">
        <v>17.2499999999994</v>
      </c>
      <c r="E221">
        <f t="shared" si="54"/>
        <v>0.41249999999999998</v>
      </c>
      <c r="F221">
        <f t="shared" si="56"/>
        <v>0</v>
      </c>
      <c r="G221">
        <f t="shared" si="55"/>
        <v>-0.41249999999999998</v>
      </c>
    </row>
    <row r="222" spans="1:7" x14ac:dyDescent="0.25">
      <c r="A222" s="35">
        <v>17.333333333332799</v>
      </c>
      <c r="E222">
        <f t="shared" si="54"/>
        <v>0</v>
      </c>
      <c r="F222">
        <f t="shared" si="56"/>
        <v>0</v>
      </c>
      <c r="G222">
        <f t="shared" si="55"/>
        <v>0</v>
      </c>
    </row>
    <row r="223" spans="1:7" x14ac:dyDescent="0.25">
      <c r="A223" s="35">
        <v>17.416666666666099</v>
      </c>
      <c r="E223">
        <f t="shared" si="54"/>
        <v>0</v>
      </c>
      <c r="F223">
        <f t="shared" si="56"/>
        <v>0</v>
      </c>
      <c r="G223">
        <f t="shared" si="55"/>
        <v>0</v>
      </c>
    </row>
    <row r="224" spans="1:7" x14ac:dyDescent="0.25">
      <c r="A224" s="35">
        <v>17.4999999999994</v>
      </c>
      <c r="C224">
        <f>$B$2/2*$B$14</f>
        <v>1.875</v>
      </c>
      <c r="E224">
        <f t="shared" si="54"/>
        <v>0</v>
      </c>
      <c r="F224">
        <f t="shared" si="56"/>
        <v>0</v>
      </c>
      <c r="G224">
        <f t="shared" si="55"/>
        <v>1.875</v>
      </c>
    </row>
    <row r="225" spans="1:7" x14ac:dyDescent="0.25">
      <c r="A225" s="35">
        <v>17.5833333333327</v>
      </c>
      <c r="E225">
        <f t="shared" si="54"/>
        <v>0</v>
      </c>
      <c r="F225">
        <f t="shared" si="56"/>
        <v>0</v>
      </c>
      <c r="G225">
        <f t="shared" si="55"/>
        <v>0</v>
      </c>
    </row>
    <row r="226" spans="1:7" x14ac:dyDescent="0.25">
      <c r="A226" s="35">
        <v>17.666666666666099</v>
      </c>
      <c r="E226">
        <f t="shared" si="54"/>
        <v>0</v>
      </c>
      <c r="F226">
        <f t="shared" si="56"/>
        <v>0</v>
      </c>
      <c r="G226">
        <f t="shared" si="55"/>
        <v>0</v>
      </c>
    </row>
    <row r="227" spans="1:7" x14ac:dyDescent="0.25">
      <c r="A227" s="35">
        <v>17.7499999999994</v>
      </c>
      <c r="E227">
        <f t="shared" si="54"/>
        <v>0.41249999999999998</v>
      </c>
      <c r="F227">
        <f t="shared" si="56"/>
        <v>0</v>
      </c>
      <c r="G227">
        <f t="shared" si="55"/>
        <v>-0.41249999999999998</v>
      </c>
    </row>
    <row r="228" spans="1:7" x14ac:dyDescent="0.25">
      <c r="A228" s="35">
        <v>17.8333333333327</v>
      </c>
      <c r="E228">
        <f t="shared" si="54"/>
        <v>0</v>
      </c>
      <c r="F228">
        <f t="shared" si="56"/>
        <v>0</v>
      </c>
      <c r="G228">
        <f t="shared" si="55"/>
        <v>0</v>
      </c>
    </row>
    <row r="229" spans="1:7" x14ac:dyDescent="0.25">
      <c r="A229" s="35">
        <v>17.916666666666099</v>
      </c>
      <c r="E229">
        <f t="shared" si="54"/>
        <v>0</v>
      </c>
      <c r="F229">
        <f t="shared" si="56"/>
        <v>0</v>
      </c>
      <c r="G229">
        <f t="shared" si="55"/>
        <v>0</v>
      </c>
    </row>
    <row r="230" spans="1:7" x14ac:dyDescent="0.25">
      <c r="A230" s="35">
        <v>17.9999999999994</v>
      </c>
      <c r="C230">
        <f>$B$2/2*$B$14</f>
        <v>1.875</v>
      </c>
      <c r="E230">
        <f t="shared" si="54"/>
        <v>0</v>
      </c>
      <c r="F230">
        <f t="shared" si="56"/>
        <v>0</v>
      </c>
      <c r="G230">
        <f t="shared" si="55"/>
        <v>1.875</v>
      </c>
    </row>
    <row r="231" spans="1:7" x14ac:dyDescent="0.25">
      <c r="A231" s="35">
        <v>18.0833333333327</v>
      </c>
      <c r="E231">
        <f t="shared" si="54"/>
        <v>0</v>
      </c>
      <c r="F231">
        <f t="shared" si="56"/>
        <v>0</v>
      </c>
      <c r="G231">
        <f t="shared" si="55"/>
        <v>0</v>
      </c>
    </row>
    <row r="232" spans="1:7" x14ac:dyDescent="0.25">
      <c r="A232" s="35">
        <v>18.166666666666099</v>
      </c>
      <c r="E232">
        <f t="shared" si="54"/>
        <v>0</v>
      </c>
      <c r="F232">
        <f t="shared" si="56"/>
        <v>0</v>
      </c>
      <c r="G232">
        <f t="shared" si="55"/>
        <v>0</v>
      </c>
    </row>
    <row r="233" spans="1:7" x14ac:dyDescent="0.25">
      <c r="A233" s="35">
        <v>18.2499999999994</v>
      </c>
      <c r="E233">
        <f t="shared" si="54"/>
        <v>0.41249999999999998</v>
      </c>
      <c r="F233">
        <f t="shared" si="56"/>
        <v>0</v>
      </c>
      <c r="G233">
        <f t="shared" si="55"/>
        <v>-0.41249999999999998</v>
      </c>
    </row>
    <row r="234" spans="1:7" x14ac:dyDescent="0.25">
      <c r="A234" s="35">
        <v>18.3333333333327</v>
      </c>
      <c r="E234">
        <f t="shared" si="54"/>
        <v>0</v>
      </c>
      <c r="F234">
        <f t="shared" si="56"/>
        <v>0</v>
      </c>
      <c r="G234">
        <f t="shared" si="55"/>
        <v>0</v>
      </c>
    </row>
    <row r="235" spans="1:7" x14ac:dyDescent="0.25">
      <c r="A235" s="35">
        <v>18.416666666666</v>
      </c>
      <c r="E235">
        <f t="shared" si="54"/>
        <v>0</v>
      </c>
      <c r="F235">
        <f t="shared" si="56"/>
        <v>0</v>
      </c>
      <c r="G235">
        <f t="shared" si="55"/>
        <v>0</v>
      </c>
    </row>
    <row r="236" spans="1:7" x14ac:dyDescent="0.25">
      <c r="A236" s="35">
        <v>18.4999999999994</v>
      </c>
      <c r="C236">
        <f>$B$2/2*$B$14</f>
        <v>1.875</v>
      </c>
      <c r="E236">
        <f t="shared" si="54"/>
        <v>0</v>
      </c>
      <c r="F236">
        <f t="shared" si="56"/>
        <v>0</v>
      </c>
      <c r="G236">
        <f t="shared" si="55"/>
        <v>1.875</v>
      </c>
    </row>
    <row r="237" spans="1:7" x14ac:dyDescent="0.25">
      <c r="A237" s="35">
        <v>18.5833333333327</v>
      </c>
      <c r="E237">
        <f t="shared" si="54"/>
        <v>0</v>
      </c>
      <c r="F237">
        <f t="shared" si="56"/>
        <v>0</v>
      </c>
      <c r="G237">
        <f t="shared" si="55"/>
        <v>0</v>
      </c>
    </row>
    <row r="238" spans="1:7" x14ac:dyDescent="0.25">
      <c r="A238" s="35">
        <v>18.666666666666</v>
      </c>
      <c r="E238">
        <f t="shared" si="54"/>
        <v>0</v>
      </c>
      <c r="F238">
        <f t="shared" si="56"/>
        <v>0</v>
      </c>
      <c r="G238">
        <f t="shared" si="55"/>
        <v>0</v>
      </c>
    </row>
    <row r="239" spans="1:7" x14ac:dyDescent="0.25">
      <c r="A239" s="35">
        <v>18.7499999999994</v>
      </c>
      <c r="E239">
        <f t="shared" si="54"/>
        <v>0.41249999999999998</v>
      </c>
      <c r="F239">
        <f t="shared" si="56"/>
        <v>0</v>
      </c>
      <c r="G239">
        <f t="shared" si="55"/>
        <v>-0.41249999999999998</v>
      </c>
    </row>
    <row r="240" spans="1:7" x14ac:dyDescent="0.25">
      <c r="A240" s="35">
        <v>18.8333333333327</v>
      </c>
      <c r="E240">
        <f t="shared" si="54"/>
        <v>0</v>
      </c>
      <c r="F240">
        <f t="shared" si="56"/>
        <v>0</v>
      </c>
      <c r="G240">
        <f t="shared" si="55"/>
        <v>0</v>
      </c>
    </row>
    <row r="241" spans="1:7" x14ac:dyDescent="0.25">
      <c r="A241" s="35">
        <v>18.916666666666</v>
      </c>
      <c r="E241">
        <f t="shared" si="54"/>
        <v>0</v>
      </c>
      <c r="F241">
        <f t="shared" si="56"/>
        <v>0</v>
      </c>
      <c r="G241">
        <f t="shared" si="55"/>
        <v>0</v>
      </c>
    </row>
    <row r="242" spans="1:7" x14ac:dyDescent="0.25">
      <c r="A242" s="35">
        <v>18.9999999999994</v>
      </c>
      <c r="C242">
        <f>$B$2/2*$B$14</f>
        <v>1.875</v>
      </c>
      <c r="E242">
        <f t="shared" si="54"/>
        <v>0</v>
      </c>
      <c r="F242">
        <f t="shared" si="56"/>
        <v>0</v>
      </c>
      <c r="G242">
        <f t="shared" si="55"/>
        <v>1.875</v>
      </c>
    </row>
    <row r="243" spans="1:7" x14ac:dyDescent="0.25">
      <c r="A243" s="35">
        <v>19.0833333333327</v>
      </c>
      <c r="E243">
        <f t="shared" si="54"/>
        <v>0</v>
      </c>
      <c r="F243">
        <f t="shared" si="56"/>
        <v>0</v>
      </c>
      <c r="G243">
        <f t="shared" si="55"/>
        <v>0</v>
      </c>
    </row>
    <row r="244" spans="1:7" x14ac:dyDescent="0.25">
      <c r="A244" s="35">
        <v>19.166666666666</v>
      </c>
      <c r="E244">
        <f t="shared" si="54"/>
        <v>0</v>
      </c>
      <c r="F244">
        <f t="shared" si="56"/>
        <v>0</v>
      </c>
      <c r="G244">
        <f t="shared" si="55"/>
        <v>0</v>
      </c>
    </row>
    <row r="245" spans="1:7" x14ac:dyDescent="0.25">
      <c r="A245" s="35">
        <v>19.2499999999993</v>
      </c>
      <c r="E245">
        <f t="shared" si="54"/>
        <v>0.41249999999999998</v>
      </c>
      <c r="F245">
        <f t="shared" si="56"/>
        <v>0</v>
      </c>
      <c r="G245">
        <f t="shared" si="55"/>
        <v>-0.41249999999999998</v>
      </c>
    </row>
    <row r="246" spans="1:7" x14ac:dyDescent="0.25">
      <c r="A246" s="35">
        <v>19.3333333333327</v>
      </c>
      <c r="E246">
        <f t="shared" si="54"/>
        <v>0</v>
      </c>
      <c r="F246">
        <f t="shared" si="56"/>
        <v>0</v>
      </c>
      <c r="G246">
        <f t="shared" si="55"/>
        <v>0</v>
      </c>
    </row>
    <row r="247" spans="1:7" x14ac:dyDescent="0.25">
      <c r="A247" s="35">
        <v>19.416666666666</v>
      </c>
      <c r="E247">
        <f t="shared" ref="E247:E259" si="57">C244*$F$2</f>
        <v>0</v>
      </c>
      <c r="F247">
        <f t="shared" si="56"/>
        <v>0</v>
      </c>
      <c r="G247">
        <f t="shared" si="55"/>
        <v>0</v>
      </c>
    </row>
    <row r="248" spans="1:7" x14ac:dyDescent="0.25">
      <c r="A248" s="35">
        <v>19.4999999999993</v>
      </c>
      <c r="C248">
        <f>$B$2/2*$B$14</f>
        <v>1.875</v>
      </c>
      <c r="E248">
        <f t="shared" si="57"/>
        <v>0</v>
      </c>
      <c r="F248">
        <f t="shared" si="56"/>
        <v>0</v>
      </c>
      <c r="G248">
        <f t="shared" si="55"/>
        <v>1.875</v>
      </c>
    </row>
    <row r="249" spans="1:7" x14ac:dyDescent="0.25">
      <c r="A249" s="35">
        <v>19.5833333333327</v>
      </c>
      <c r="E249">
        <f t="shared" si="57"/>
        <v>0</v>
      </c>
      <c r="F249">
        <f t="shared" si="56"/>
        <v>0</v>
      </c>
      <c r="G249">
        <f t="shared" si="55"/>
        <v>0</v>
      </c>
    </row>
    <row r="250" spans="1:7" x14ac:dyDescent="0.25">
      <c r="A250" s="35">
        <v>19.666666666666</v>
      </c>
      <c r="E250">
        <f t="shared" si="57"/>
        <v>0</v>
      </c>
      <c r="F250">
        <f t="shared" si="56"/>
        <v>0</v>
      </c>
      <c r="G250">
        <f t="shared" si="55"/>
        <v>0</v>
      </c>
    </row>
    <row r="251" spans="1:7" x14ac:dyDescent="0.25">
      <c r="A251" s="35">
        <v>19.7499999999993</v>
      </c>
      <c r="E251">
        <f t="shared" si="57"/>
        <v>0.41249999999999998</v>
      </c>
      <c r="F251">
        <f t="shared" si="56"/>
        <v>0</v>
      </c>
      <c r="G251">
        <f t="shared" si="55"/>
        <v>-0.41249999999999998</v>
      </c>
    </row>
    <row r="252" spans="1:7" x14ac:dyDescent="0.25">
      <c r="A252" s="35">
        <v>19.8333333333327</v>
      </c>
      <c r="E252">
        <f t="shared" si="57"/>
        <v>0</v>
      </c>
      <c r="F252">
        <f t="shared" si="56"/>
        <v>0</v>
      </c>
      <c r="G252">
        <f t="shared" si="55"/>
        <v>0</v>
      </c>
    </row>
    <row r="253" spans="1:7" x14ac:dyDescent="0.25">
      <c r="A253" s="35">
        <v>19.916666666666</v>
      </c>
      <c r="E253">
        <f t="shared" si="57"/>
        <v>0</v>
      </c>
      <c r="F253">
        <f t="shared" si="56"/>
        <v>0</v>
      </c>
      <c r="G253">
        <f t="shared" si="55"/>
        <v>0</v>
      </c>
    </row>
    <row r="254" spans="1:7" x14ac:dyDescent="0.25">
      <c r="A254" s="35">
        <v>19.9999999999993</v>
      </c>
      <c r="C254">
        <f>$B$2/2*$B$14</f>
        <v>1.875</v>
      </c>
      <c r="D254" s="18">
        <f>B3*B14</f>
        <v>103.49999999999999</v>
      </c>
      <c r="E254">
        <f t="shared" si="57"/>
        <v>0</v>
      </c>
      <c r="F254">
        <f t="shared" si="56"/>
        <v>0</v>
      </c>
      <c r="G254">
        <f t="shared" si="55"/>
        <v>105.37499999999999</v>
      </c>
    </row>
    <row r="255" spans="1:7" x14ac:dyDescent="0.25">
      <c r="A255" s="35">
        <v>20.0833333333326</v>
      </c>
      <c r="E255">
        <f t="shared" si="57"/>
        <v>0</v>
      </c>
      <c r="F255">
        <f t="shared" si="56"/>
        <v>0</v>
      </c>
      <c r="G255">
        <f t="shared" si="55"/>
        <v>0</v>
      </c>
    </row>
    <row r="256" spans="1:7" x14ac:dyDescent="0.25">
      <c r="A256" s="35">
        <v>20.1666666666659</v>
      </c>
      <c r="E256">
        <f t="shared" si="57"/>
        <v>0</v>
      </c>
      <c r="F256">
        <f t="shared" si="56"/>
        <v>0</v>
      </c>
      <c r="G256">
        <f t="shared" si="55"/>
        <v>0</v>
      </c>
    </row>
    <row r="257" spans="1:7" x14ac:dyDescent="0.25">
      <c r="A257" s="35">
        <v>20.249999999999201</v>
      </c>
      <c r="E257">
        <f t="shared" si="57"/>
        <v>0.41249999999999998</v>
      </c>
      <c r="F257">
        <f t="shared" si="56"/>
        <v>0</v>
      </c>
      <c r="G257">
        <f t="shared" si="55"/>
        <v>-0.41249999999999998</v>
      </c>
    </row>
    <row r="258" spans="1:7" x14ac:dyDescent="0.25">
      <c r="A258" s="35">
        <v>20.333333333332501</v>
      </c>
      <c r="E258">
        <f t="shared" si="57"/>
        <v>0</v>
      </c>
      <c r="F258">
        <f t="shared" si="56"/>
        <v>0</v>
      </c>
      <c r="G258">
        <f t="shared" si="55"/>
        <v>0</v>
      </c>
    </row>
    <row r="259" spans="1:7" x14ac:dyDescent="0.25">
      <c r="A259" s="35">
        <v>20.416666666665801</v>
      </c>
      <c r="E259">
        <f t="shared" si="57"/>
        <v>0</v>
      </c>
      <c r="F259">
        <f t="shared" si="56"/>
        <v>0.94499999999999618</v>
      </c>
      <c r="G259">
        <f t="shared" si="55"/>
        <v>-0.94499999999999618</v>
      </c>
    </row>
  </sheetData>
  <mergeCells count="2">
    <mergeCell ref="A7:G7"/>
    <mergeCell ref="I7:O7"/>
  </mergeCells>
  <printOptions gridLines="1" gridLinesSet="0"/>
  <pageMargins left="0.7" right="0.7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s="2">
        <f>'Q1'!B2</f>
        <v>3.04839491035854E-2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29"/>
  <sheetViews>
    <sheetView workbookViewId="0">
      <selection activeCell="C5" sqref="C5"/>
    </sheetView>
  </sheetViews>
  <sheetFormatPr defaultRowHeight="15" x14ac:dyDescent="0.25"/>
  <cols>
    <col min="1" max="2" width="9.140625" style="8"/>
  </cols>
  <sheetData>
    <row r="3" spans="1:3" s="9" customFormat="1" x14ac:dyDescent="0.25">
      <c r="A3" s="9" t="s">
        <v>24</v>
      </c>
      <c r="B3" s="9" t="s">
        <v>25</v>
      </c>
      <c r="C3" s="9" t="s">
        <v>26</v>
      </c>
    </row>
    <row r="4" spans="1:3" x14ac:dyDescent="0.25">
      <c r="A4" s="8">
        <v>0</v>
      </c>
      <c r="B4" s="8">
        <v>1</v>
      </c>
      <c r="C4" s="2">
        <v>2.5000000000000001E-2</v>
      </c>
    </row>
    <row r="5" spans="1:3" x14ac:dyDescent="0.25">
      <c r="A5" s="8">
        <v>1</v>
      </c>
      <c r="B5" s="8">
        <v>1</v>
      </c>
      <c r="C5" s="10">
        <v>2.5499999999999998E-2</v>
      </c>
    </row>
    <row r="6" spans="1:3" x14ac:dyDescent="0.25">
      <c r="A6" s="8">
        <v>2</v>
      </c>
      <c r="B6" s="8">
        <v>1</v>
      </c>
      <c r="C6" s="10">
        <v>2.6499999999999999E-2</v>
      </c>
    </row>
    <row r="7" spans="1:3" x14ac:dyDescent="0.25">
      <c r="A7" s="8">
        <v>3</v>
      </c>
      <c r="B7" s="8">
        <v>1</v>
      </c>
      <c r="C7" s="10">
        <v>2.7799999999999998E-2</v>
      </c>
    </row>
    <row r="8" spans="1:3" x14ac:dyDescent="0.25">
      <c r="A8" s="8">
        <v>4</v>
      </c>
      <c r="B8" s="8">
        <v>1</v>
      </c>
      <c r="C8" s="10">
        <v>0.03</v>
      </c>
    </row>
    <row r="9" spans="1:3" x14ac:dyDescent="0.25">
      <c r="A9" s="8">
        <v>5</v>
      </c>
      <c r="B9" s="8">
        <v>1</v>
      </c>
      <c r="C9" s="10">
        <v>3.2000000000000001E-2</v>
      </c>
    </row>
    <row r="10" spans="1:3" x14ac:dyDescent="0.25">
      <c r="A10" s="8">
        <v>6</v>
      </c>
      <c r="B10" s="8">
        <v>1</v>
      </c>
      <c r="C10" s="10">
        <v>3.4000000000000002E-2</v>
      </c>
    </row>
    <row r="11" spans="1:3" x14ac:dyDescent="0.25">
      <c r="A11" s="8">
        <v>7</v>
      </c>
      <c r="B11" s="8">
        <v>1</v>
      </c>
      <c r="C11" s="10">
        <v>3.5999999999999997E-2</v>
      </c>
    </row>
    <row r="12" spans="1:3" x14ac:dyDescent="0.25">
      <c r="A12" s="8">
        <v>8</v>
      </c>
      <c r="B12" s="8">
        <v>1</v>
      </c>
      <c r="C12" s="10">
        <v>3.7999999999999999E-2</v>
      </c>
    </row>
    <row r="13" spans="1:3" x14ac:dyDescent="0.25">
      <c r="A13" s="8">
        <v>9</v>
      </c>
      <c r="B13" s="8">
        <v>1</v>
      </c>
      <c r="C13" s="10">
        <v>0.04</v>
      </c>
    </row>
    <row r="14" spans="1:3" x14ac:dyDescent="0.25">
      <c r="A14" s="8">
        <v>10</v>
      </c>
      <c r="B14" s="8">
        <v>1</v>
      </c>
      <c r="C14" s="10">
        <v>4.2000000000000003E-2</v>
      </c>
    </row>
    <row r="15" spans="1:3" x14ac:dyDescent="0.25">
      <c r="A15" s="8">
        <v>11</v>
      </c>
      <c r="B15" s="8">
        <v>1</v>
      </c>
      <c r="C15" s="10">
        <v>4.3499999999999997E-2</v>
      </c>
    </row>
    <row r="16" spans="1:3" x14ac:dyDescent="0.25">
      <c r="A16" s="8">
        <v>12</v>
      </c>
      <c r="B16" s="8">
        <v>1</v>
      </c>
      <c r="C16" s="10">
        <v>4.4999999999999998E-2</v>
      </c>
    </row>
    <row r="17" spans="1:3" x14ac:dyDescent="0.25">
      <c r="A17" s="8">
        <v>13</v>
      </c>
      <c r="B17" s="8">
        <v>1</v>
      </c>
      <c r="C17" s="10">
        <v>4.5999999999999999E-2</v>
      </c>
    </row>
    <row r="18" spans="1:3" x14ac:dyDescent="0.25">
      <c r="A18" s="8">
        <v>14</v>
      </c>
      <c r="B18" s="8">
        <v>1</v>
      </c>
      <c r="C18" s="10">
        <v>4.65E-2</v>
      </c>
    </row>
    <row r="19" spans="1:3" x14ac:dyDescent="0.25">
      <c r="A19" s="8">
        <v>15</v>
      </c>
      <c r="B19" s="8">
        <v>1</v>
      </c>
      <c r="C19" s="10">
        <v>4.6800000000000001E-2</v>
      </c>
    </row>
    <row r="20" spans="1:3" x14ac:dyDescent="0.25">
      <c r="A20" s="8">
        <v>16</v>
      </c>
      <c r="B20" s="8">
        <v>1</v>
      </c>
      <c r="C20" s="10">
        <v>4.7E-2</v>
      </c>
    </row>
    <row r="21" spans="1:3" x14ac:dyDescent="0.25">
      <c r="A21" s="8">
        <v>17</v>
      </c>
      <c r="B21" s="8">
        <v>1</v>
      </c>
      <c r="C21" s="10">
        <v>4.7199999999999999E-2</v>
      </c>
    </row>
    <row r="22" spans="1:3" x14ac:dyDescent="0.25">
      <c r="A22" s="8">
        <v>18</v>
      </c>
      <c r="B22" s="8">
        <v>1</v>
      </c>
      <c r="C22" s="10">
        <v>4.7500000000000001E-2</v>
      </c>
    </row>
    <row r="23" spans="1:3" x14ac:dyDescent="0.25">
      <c r="A23" s="8">
        <v>19</v>
      </c>
      <c r="B23" s="8">
        <v>1</v>
      </c>
      <c r="C23" s="10">
        <v>4.8000000000000001E-2</v>
      </c>
    </row>
    <row r="24" spans="1:3" x14ac:dyDescent="0.25">
      <c r="A24" s="8">
        <v>20</v>
      </c>
      <c r="B24" s="8">
        <v>1</v>
      </c>
      <c r="C24" s="10">
        <v>4.8500000000000001E-2</v>
      </c>
    </row>
    <row r="25" spans="1:3" x14ac:dyDescent="0.25">
      <c r="A25" s="8">
        <v>21</v>
      </c>
      <c r="B25" s="8">
        <v>1</v>
      </c>
      <c r="C25" s="10">
        <v>4.9000000000000002E-2</v>
      </c>
    </row>
    <row r="26" spans="1:3" x14ac:dyDescent="0.25">
      <c r="A26" s="8">
        <v>22</v>
      </c>
      <c r="B26" s="8">
        <v>1</v>
      </c>
      <c r="C26" s="10">
        <v>4.9500000000000002E-2</v>
      </c>
    </row>
    <row r="27" spans="1:3" x14ac:dyDescent="0.25">
      <c r="A27" s="8">
        <v>23</v>
      </c>
      <c r="B27" s="8">
        <v>1</v>
      </c>
      <c r="C27" s="10">
        <v>0.05</v>
      </c>
    </row>
    <row r="28" spans="1:3" x14ac:dyDescent="0.25">
      <c r="A28" s="8">
        <v>24</v>
      </c>
      <c r="B28" s="8">
        <v>1</v>
      </c>
      <c r="C28" s="10">
        <v>5.0999999999999997E-2</v>
      </c>
    </row>
    <row r="29" spans="1:3" x14ac:dyDescent="0.25">
      <c r="A29" s="8">
        <v>25</v>
      </c>
      <c r="B29" s="8">
        <v>1</v>
      </c>
      <c r="C29" s="10">
        <v>5.1999999999999998E-2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1"/>
  <sheetViews>
    <sheetView workbookViewId="0">
      <selection activeCell="K14" sqref="K14"/>
    </sheetView>
  </sheetViews>
  <sheetFormatPr defaultRowHeight="15" x14ac:dyDescent="0.25"/>
  <cols>
    <col min="1" max="2" width="9.140625" style="8"/>
    <col min="11" max="11" width="11.5703125" customWidth="1"/>
  </cols>
  <sheetData>
    <row r="1" spans="1:17" x14ac:dyDescent="0.25">
      <c r="A1" t="s">
        <v>27</v>
      </c>
      <c r="G1" t="s">
        <v>28</v>
      </c>
      <c r="J1" s="70" t="s">
        <v>29</v>
      </c>
      <c r="N1" t="s">
        <v>30</v>
      </c>
    </row>
    <row r="2" spans="1:17" s="9" customFormat="1" x14ac:dyDescent="0.25">
      <c r="E2" s="6" t="s">
        <v>11</v>
      </c>
      <c r="G2" s="6" t="s">
        <v>10</v>
      </c>
      <c r="H2" s="6" t="s">
        <v>1</v>
      </c>
      <c r="I2" s="6"/>
      <c r="J2" s="69" t="s">
        <v>3</v>
      </c>
      <c r="K2" s="71">
        <v>3.6954032519415883E-2</v>
      </c>
      <c r="L2" s="6"/>
      <c r="M2" s="6"/>
      <c r="N2" s="6" t="s">
        <v>10</v>
      </c>
      <c r="O2" s="6" t="s">
        <v>1</v>
      </c>
      <c r="P2" s="6" t="s">
        <v>10</v>
      </c>
    </row>
    <row r="3" spans="1:17" s="9" customFormat="1" ht="31.5" x14ac:dyDescent="0.35">
      <c r="A3" s="9" t="s">
        <v>24</v>
      </c>
      <c r="B3" s="9" t="s">
        <v>25</v>
      </c>
      <c r="C3" s="49" t="s">
        <v>31</v>
      </c>
      <c r="D3" s="49" t="s">
        <v>32</v>
      </c>
      <c r="E3" s="49" t="s">
        <v>33</v>
      </c>
      <c r="G3" s="48" t="s">
        <v>34</v>
      </c>
      <c r="H3" s="48" t="s">
        <v>35</v>
      </c>
      <c r="J3" s="7" t="s">
        <v>36</v>
      </c>
      <c r="K3" s="7" t="s">
        <v>37</v>
      </c>
      <c r="N3" s="45" t="s">
        <v>38</v>
      </c>
      <c r="O3" s="46" t="s">
        <v>39</v>
      </c>
      <c r="P3" s="47" t="s">
        <v>40</v>
      </c>
      <c r="Q3" t="s">
        <v>41</v>
      </c>
    </row>
    <row r="4" spans="1:17" x14ac:dyDescent="0.25">
      <c r="A4" s="8">
        <v>0</v>
      </c>
      <c r="B4" s="8">
        <v>1</v>
      </c>
      <c r="C4" s="2">
        <v>2.5000000000000001E-2</v>
      </c>
      <c r="D4" s="11">
        <f t="shared" ref="D4:D29" si="0">1+C4</f>
        <v>1.0249999999999999</v>
      </c>
    </row>
    <row r="5" spans="1:17" x14ac:dyDescent="0.25">
      <c r="A5" s="8">
        <v>1</v>
      </c>
      <c r="B5" s="8">
        <v>1</v>
      </c>
      <c r="C5" s="10">
        <v>2.5499999999999998E-2</v>
      </c>
      <c r="D5" s="11">
        <f t="shared" si="0"/>
        <v>1.0255000000000001</v>
      </c>
      <c r="E5" s="2">
        <f>C4</f>
        <v>2.5000000000000001E-2</v>
      </c>
      <c r="G5">
        <f t="shared" ref="G5:G24" si="1">(1+E5)^-(A4+B4)</f>
        <v>0.97560975609756106</v>
      </c>
      <c r="J5">
        <f>G5*$K$2*100</f>
        <v>3.6052714653088671</v>
      </c>
      <c r="N5">
        <f t="shared" ref="N5:N24" si="2">100*(1+$O$5)^-(A4+B4)</f>
        <v>96.369306510156136</v>
      </c>
      <c r="O5" s="2">
        <v>3.7674791085699481E-2</v>
      </c>
      <c r="P5" s="12">
        <f>SUM(N5:N24)*H24+N24</f>
        <v>98.99998442651912</v>
      </c>
    </row>
    <row r="6" spans="1:17" x14ac:dyDescent="0.25">
      <c r="A6" s="8">
        <v>2</v>
      </c>
      <c r="B6" s="8">
        <v>1</v>
      </c>
      <c r="C6" s="10">
        <v>2.6499999999999999E-2</v>
      </c>
      <c r="D6" s="11">
        <f t="shared" si="0"/>
        <v>1.0265</v>
      </c>
      <c r="E6" s="10">
        <f>(PRODUCT($D$4:D5))^(1/(A5+B5))-1</f>
        <v>2.5249969519628879E-2</v>
      </c>
      <c r="G6">
        <f t="shared" si="1"/>
        <v>0.95135032286451593</v>
      </c>
      <c r="J6">
        <f t="shared" ref="J6:J24" si="3">G6*$K$2*100</f>
        <v>3.515623076849212</v>
      </c>
      <c r="N6">
        <f t="shared" si="2"/>
        <v>92.870432372484231</v>
      </c>
    </row>
    <row r="7" spans="1:17" x14ac:dyDescent="0.25">
      <c r="A7" s="8">
        <v>3</v>
      </c>
      <c r="B7" s="8">
        <v>1</v>
      </c>
      <c r="C7" s="10">
        <v>2.7799999999999998E-2</v>
      </c>
      <c r="D7" s="11">
        <f t="shared" si="0"/>
        <v>1.0278</v>
      </c>
      <c r="E7" s="10">
        <f>(PRODUCT($D$4:D6))^(1/(A6+B6))-1</f>
        <v>2.5666477117376463E-2</v>
      </c>
      <c r="G7">
        <f t="shared" si="1"/>
        <v>0.92679037785145257</v>
      </c>
      <c r="J7">
        <f t="shared" si="3"/>
        <v>3.424864176180431</v>
      </c>
      <c r="N7">
        <f t="shared" si="2"/>
        <v>89.498591630346596</v>
      </c>
    </row>
    <row r="8" spans="1:17" x14ac:dyDescent="0.25">
      <c r="A8" s="8">
        <v>4</v>
      </c>
      <c r="B8" s="8">
        <v>1</v>
      </c>
      <c r="C8" s="10">
        <v>0.03</v>
      </c>
      <c r="D8" s="11">
        <f t="shared" si="0"/>
        <v>1.03</v>
      </c>
      <c r="E8" s="10">
        <f>(PRODUCT($D$4:D7))^(1/(A7+B7))-1</f>
        <v>2.6199442278564966E-2</v>
      </c>
      <c r="G8">
        <f t="shared" si="1"/>
        <v>0.90172249255833059</v>
      </c>
      <c r="J8">
        <f t="shared" si="3"/>
        <v>3.33222823134893</v>
      </c>
      <c r="N8">
        <f t="shared" si="2"/>
        <v>86.249172090521668</v>
      </c>
    </row>
    <row r="9" spans="1:17" x14ac:dyDescent="0.25">
      <c r="A9" s="8">
        <v>5</v>
      </c>
      <c r="B9" s="8">
        <v>1</v>
      </c>
      <c r="C9" s="10">
        <v>3.2000000000000001E-2</v>
      </c>
      <c r="D9" s="11">
        <f t="shared" si="0"/>
        <v>1.032</v>
      </c>
      <c r="E9" s="10">
        <f>(PRODUCT($D$4:D8))^(1/(A8+B8))-1</f>
        <v>2.6958430281006418E-2</v>
      </c>
      <c r="G9">
        <f t="shared" si="1"/>
        <v>0.87545873063915647</v>
      </c>
      <c r="J9">
        <f t="shared" si="3"/>
        <v>3.2351730401445939</v>
      </c>
      <c r="N9">
        <f t="shared" si="2"/>
        <v>83.117729014386882</v>
      </c>
    </row>
    <row r="10" spans="1:17" x14ac:dyDescent="0.25">
      <c r="A10" s="8">
        <v>6</v>
      </c>
      <c r="B10" s="8">
        <v>1</v>
      </c>
      <c r="C10" s="10">
        <v>3.4000000000000002E-2</v>
      </c>
      <c r="D10" s="11">
        <f t="shared" si="0"/>
        <v>1.034</v>
      </c>
      <c r="E10" s="10">
        <f>(PRODUCT($D$4:D9))^(1/(A9+B9))-1</f>
        <v>2.7796978275606898E-2</v>
      </c>
      <c r="G10">
        <f t="shared" si="1"/>
        <v>0.8483127234875536</v>
      </c>
      <c r="J10">
        <f t="shared" si="3"/>
        <v>3.1348575970393311</v>
      </c>
      <c r="N10">
        <f t="shared" si="2"/>
        <v>80.099979038155467</v>
      </c>
    </row>
    <row r="11" spans="1:17" x14ac:dyDescent="0.25">
      <c r="A11" s="8">
        <v>7</v>
      </c>
      <c r="B11" s="8">
        <v>1</v>
      </c>
      <c r="C11" s="10">
        <v>3.5999999999999997E-2</v>
      </c>
      <c r="D11" s="11">
        <f t="shared" si="0"/>
        <v>1.036</v>
      </c>
      <c r="E11" s="10">
        <f>(PRODUCT($D$4:D10))^(1/(A10+B10))-1</f>
        <v>2.8680840710980426E-2</v>
      </c>
      <c r="G11">
        <f t="shared" si="1"/>
        <v>0.82041849466881434</v>
      </c>
      <c r="J11">
        <f t="shared" si="3"/>
        <v>3.0317771731521592</v>
      </c>
      <c r="N11">
        <f t="shared" si="2"/>
        <v>77.191794313850863</v>
      </c>
    </row>
    <row r="12" spans="1:17" x14ac:dyDescent="0.25">
      <c r="A12" s="8">
        <v>8</v>
      </c>
      <c r="B12" s="8">
        <v>1</v>
      </c>
      <c r="C12" s="10">
        <v>3.7999999999999999E-2</v>
      </c>
      <c r="D12" s="11">
        <f t="shared" si="0"/>
        <v>1.038</v>
      </c>
      <c r="E12" s="10">
        <f>(PRODUCT($D$4:D11))^(1/(A11+B11))-1</f>
        <v>2.9592900288942348E-2</v>
      </c>
      <c r="G12">
        <f t="shared" si="1"/>
        <v>0.79190974388881696</v>
      </c>
      <c r="J12">
        <f t="shared" si="3"/>
        <v>2.9264258428109646</v>
      </c>
      <c r="N12">
        <f t="shared" si="2"/>
        <v>74.389196863004216</v>
      </c>
    </row>
    <row r="13" spans="1:17" x14ac:dyDescent="0.25">
      <c r="A13" s="8">
        <v>9</v>
      </c>
      <c r="B13" s="8">
        <v>1</v>
      </c>
      <c r="C13" s="10">
        <v>0.04</v>
      </c>
      <c r="D13" s="11">
        <f t="shared" si="0"/>
        <v>1.04</v>
      </c>
      <c r="E13" s="10">
        <f>(PRODUCT($D$4:D12))^(1/(A12+B12))-1</f>
        <v>3.0523649789092389E-2</v>
      </c>
      <c r="G13">
        <f t="shared" si="1"/>
        <v>0.76291882840926462</v>
      </c>
      <c r="J13">
        <f t="shared" si="3"/>
        <v>2.8192927194710631</v>
      </c>
      <c r="N13">
        <f t="shared" si="2"/>
        <v>71.688353135351988</v>
      </c>
    </row>
    <row r="14" spans="1:17" x14ac:dyDescent="0.25">
      <c r="A14" s="8">
        <v>10</v>
      </c>
      <c r="B14" s="8">
        <v>1</v>
      </c>
      <c r="C14" s="10">
        <v>4.2000000000000003E-2</v>
      </c>
      <c r="D14" s="11">
        <f t="shared" si="0"/>
        <v>1.042</v>
      </c>
      <c r="E14" s="10">
        <f>(PRODUCT($D$4:D13))^(1/(A13+B13))-1</f>
        <v>3.1467386136336151E-2</v>
      </c>
      <c r="G14">
        <f t="shared" si="1"/>
        <v>0.73357579654737015</v>
      </c>
      <c r="J14">
        <f t="shared" si="3"/>
        <v>2.7108583841067926</v>
      </c>
      <c r="N14">
        <f t="shared" si="2"/>
        <v>69.085568765090485</v>
      </c>
    </row>
    <row r="15" spans="1:17" x14ac:dyDescent="0.25">
      <c r="A15" s="8">
        <v>11</v>
      </c>
      <c r="B15" s="8">
        <v>1</v>
      </c>
      <c r="C15" s="10">
        <v>4.3499999999999997E-2</v>
      </c>
      <c r="D15" s="11">
        <f t="shared" si="0"/>
        <v>1.0435000000000001</v>
      </c>
      <c r="E15" s="10">
        <f>(PRODUCT($D$4:D14))^(1/(A14+B14))-1</f>
        <v>3.2420480873686985E-2</v>
      </c>
      <c r="G15">
        <f t="shared" si="1"/>
        <v>0.70400748229114263</v>
      </c>
      <c r="J15">
        <f t="shared" si="3"/>
        <v>2.6015915394498985</v>
      </c>
      <c r="N15">
        <f t="shared" si="2"/>
        <v>66.577283517514743</v>
      </c>
    </row>
    <row r="16" spans="1:17" x14ac:dyDescent="0.25">
      <c r="A16" s="8">
        <v>12</v>
      </c>
      <c r="B16" s="8">
        <v>1</v>
      </c>
      <c r="C16" s="10">
        <v>4.4999999999999998E-2</v>
      </c>
      <c r="D16" s="11">
        <f t="shared" si="0"/>
        <v>1.0449999999999999</v>
      </c>
      <c r="E16" s="10">
        <f>(PRODUCT($D$4:D15))^(1/(A15+B15))-1</f>
        <v>3.333926367492146E-2</v>
      </c>
      <c r="G16">
        <f t="shared" si="1"/>
        <v>0.67465978178355657</v>
      </c>
      <c r="J16">
        <f t="shared" si="3"/>
        <v>2.4931399515571573</v>
      </c>
      <c r="N16">
        <f t="shared" si="2"/>
        <v>64.160066419129464</v>
      </c>
    </row>
    <row r="17" spans="1:21" x14ac:dyDescent="0.25">
      <c r="A17" s="8">
        <v>13</v>
      </c>
      <c r="B17" s="8">
        <v>1</v>
      </c>
      <c r="C17" s="10">
        <v>4.5999999999999999E-2</v>
      </c>
      <c r="D17" s="11">
        <f t="shared" si="0"/>
        <v>1.046</v>
      </c>
      <c r="E17" s="10">
        <f>(PRODUCT($D$4:D16))^(1/(A16+B16))-1</f>
        <v>3.4231605224278816E-2</v>
      </c>
      <c r="G17">
        <f t="shared" si="1"/>
        <v>0.6456074466828311</v>
      </c>
      <c r="J17">
        <f t="shared" si="3"/>
        <v>2.3857798579494398</v>
      </c>
      <c r="N17">
        <f t="shared" si="2"/>
        <v>61.830611064570626</v>
      </c>
    </row>
    <row r="18" spans="1:21" x14ac:dyDescent="0.25">
      <c r="A18" s="8">
        <v>14</v>
      </c>
      <c r="B18" s="8">
        <v>1</v>
      </c>
      <c r="C18" s="10">
        <v>4.65E-2</v>
      </c>
      <c r="D18" s="11">
        <f t="shared" si="0"/>
        <v>1.0465</v>
      </c>
      <c r="E18" s="10">
        <f>(PRODUCT($D$4:D17))^(1/(A17+B17))-1</f>
        <v>3.5067796138153806E-2</v>
      </c>
      <c r="G18">
        <f t="shared" si="1"/>
        <v>0.617215532201559</v>
      </c>
      <c r="J18">
        <f t="shared" si="3"/>
        <v>2.2808602848464994</v>
      </c>
      <c r="N18">
        <f t="shared" si="2"/>
        <v>59.585731093918582</v>
      </c>
    </row>
    <row r="19" spans="1:21" x14ac:dyDescent="0.25">
      <c r="A19" s="8">
        <v>15</v>
      </c>
      <c r="B19" s="8">
        <v>1</v>
      </c>
      <c r="C19" s="10">
        <v>4.6800000000000001E-2</v>
      </c>
      <c r="D19" s="11">
        <f t="shared" si="0"/>
        <v>1.0468</v>
      </c>
      <c r="E19" s="10">
        <f>(PRODUCT($D$4:D18))^(1/(A18+B18))-1</f>
        <v>3.5826042480712417E-2</v>
      </c>
      <c r="G19">
        <f t="shared" si="1"/>
        <v>0.5897902839957555</v>
      </c>
      <c r="J19">
        <f t="shared" si="3"/>
        <v>2.1795129334414676</v>
      </c>
      <c r="N19">
        <f t="shared" si="2"/>
        <v>57.422355834215807</v>
      </c>
    </row>
    <row r="20" spans="1:21" x14ac:dyDescent="0.25">
      <c r="A20" s="8">
        <v>16</v>
      </c>
      <c r="B20" s="8">
        <v>1</v>
      </c>
      <c r="C20" s="10">
        <v>4.7E-2</v>
      </c>
      <c r="D20" s="11">
        <f t="shared" si="0"/>
        <v>1.0469999999999999</v>
      </c>
      <c r="E20" s="10">
        <f>(PRODUCT($D$4:D19))^(1/(A19+B19))-1</f>
        <v>3.6508531822868839E-2</v>
      </c>
      <c r="G20">
        <f t="shared" si="1"/>
        <v>0.56342212838723382</v>
      </c>
      <c r="J20">
        <f t="shared" si="3"/>
        <v>2.0820719654580349</v>
      </c>
      <c r="N20">
        <f t="shared" si="2"/>
        <v>55.337526099227965</v>
      </c>
    </row>
    <row r="21" spans="1:21" x14ac:dyDescent="0.25">
      <c r="A21" s="8">
        <v>17</v>
      </c>
      <c r="B21" s="8">
        <v>1</v>
      </c>
      <c r="C21" s="10">
        <v>4.7199999999999999E-2</v>
      </c>
      <c r="D21" s="11">
        <f t="shared" si="0"/>
        <v>1.0471999999999999</v>
      </c>
      <c r="E21" s="10">
        <f>(PRODUCT($D$4:D20))^(1/(A20+B20))-1</f>
        <v>3.7122756496530407E-2</v>
      </c>
      <c r="G21">
        <f t="shared" si="1"/>
        <v>0.53813001756182643</v>
      </c>
      <c r="J21">
        <f t="shared" si="3"/>
        <v>1.9886074168653574</v>
      </c>
      <c r="N21">
        <f t="shared" si="2"/>
        <v>53.328390141702641</v>
      </c>
      <c r="U21" s="8"/>
    </row>
    <row r="22" spans="1:21" x14ac:dyDescent="0.25">
      <c r="A22" s="8">
        <v>18</v>
      </c>
      <c r="B22" s="8">
        <v>1</v>
      </c>
      <c r="C22" s="10">
        <v>4.7500000000000001E-2</v>
      </c>
      <c r="D22" s="11">
        <f t="shared" si="0"/>
        <v>1.0475000000000001</v>
      </c>
      <c r="E22" s="10">
        <f>(PRODUCT($D$4:D21))^(1/(A21+B21))-1</f>
        <v>3.7680050638520424E-2</v>
      </c>
      <c r="G22">
        <f t="shared" si="1"/>
        <v>0.51387511226301441</v>
      </c>
      <c r="J22">
        <f t="shared" si="3"/>
        <v>1.8989757609485922</v>
      </c>
      <c r="N22">
        <f t="shared" si="2"/>
        <v>51.39219975258932</v>
      </c>
      <c r="U22" s="8"/>
    </row>
    <row r="23" spans="1:21" x14ac:dyDescent="0.25">
      <c r="A23" s="8">
        <v>19</v>
      </c>
      <c r="B23" s="8">
        <v>1</v>
      </c>
      <c r="C23" s="10">
        <v>4.8000000000000001E-2</v>
      </c>
      <c r="D23" s="11">
        <f t="shared" si="0"/>
        <v>1.048</v>
      </c>
      <c r="E23" s="10">
        <f>(PRODUCT($D$4:D22))^(1/(A22+B22))-1</f>
        <v>3.8194587402438307E-2</v>
      </c>
      <c r="G23">
        <f t="shared" si="1"/>
        <v>0.49057289953509686</v>
      </c>
      <c r="J23">
        <f t="shared" si="3"/>
        <v>1.812864688256411</v>
      </c>
      <c r="N23">
        <f t="shared" si="2"/>
        <v>49.526306501884498</v>
      </c>
      <c r="U23" s="8"/>
    </row>
    <row r="24" spans="1:21" x14ac:dyDescent="0.25">
      <c r="A24" s="8">
        <v>20</v>
      </c>
      <c r="B24" s="8">
        <v>1</v>
      </c>
      <c r="C24" s="10">
        <v>4.8500000000000001E-2</v>
      </c>
      <c r="D24" s="11">
        <f t="shared" si="0"/>
        <v>1.0485</v>
      </c>
      <c r="E24" s="10">
        <f>(PRODUCT($D$4:D23))^(1/(A23+B23))-1</f>
        <v>3.8682671978860883E-2</v>
      </c>
      <c r="G24">
        <f t="shared" si="1"/>
        <v>0.46810391177012922</v>
      </c>
      <c r="H24">
        <f>(1-G24)/G26</f>
        <v>3.6954032519415855E-2</v>
      </c>
      <c r="J24">
        <f t="shared" si="3"/>
        <v>1.7298327178019139</v>
      </c>
      <c r="K24">
        <f>G24*100</f>
        <v>46.810391177012924</v>
      </c>
      <c r="N24">
        <f t="shared" si="2"/>
        <v>47.728158115960468</v>
      </c>
    </row>
    <row r="25" spans="1:21" x14ac:dyDescent="0.25">
      <c r="A25" s="8">
        <v>21</v>
      </c>
      <c r="B25" s="8">
        <v>1</v>
      </c>
      <c r="C25" s="10">
        <v>4.9000000000000002E-2</v>
      </c>
      <c r="D25" s="11">
        <f t="shared" si="0"/>
        <v>1.0489999999999999</v>
      </c>
      <c r="E25" s="10">
        <f>(PRODUCT($D$4:D24))^(1/(A24+B24))-1</f>
        <v>3.914807254833752E-2</v>
      </c>
    </row>
    <row r="26" spans="1:21" x14ac:dyDescent="0.25">
      <c r="A26" s="8">
        <v>22</v>
      </c>
      <c r="B26" s="8">
        <v>1</v>
      </c>
      <c r="C26" s="10">
        <v>4.9500000000000002E-2</v>
      </c>
      <c r="D26" s="11">
        <f t="shared" si="0"/>
        <v>1.0495000000000001</v>
      </c>
      <c r="E26" s="10">
        <f>(PRODUCT($D$4:D25))^(1/(A25+B25))-1</f>
        <v>3.9593873537734803E-2</v>
      </c>
      <c r="G26">
        <f>SUM(G5:G24)</f>
        <v>14.393451863484982</v>
      </c>
      <c r="H26" s="1" t="s">
        <v>42</v>
      </c>
      <c r="I26" s="1"/>
      <c r="J26" s="1">
        <f>SUM(J5:J24,K24)</f>
        <v>100.00000000000003</v>
      </c>
      <c r="K26" s="70" t="s">
        <v>43</v>
      </c>
      <c r="L26" s="1"/>
    </row>
    <row r="27" spans="1:21" x14ac:dyDescent="0.25">
      <c r="A27" s="8">
        <v>23</v>
      </c>
      <c r="B27" s="8">
        <v>1</v>
      </c>
      <c r="C27" s="10">
        <v>0.05</v>
      </c>
      <c r="D27" s="11">
        <f t="shared" si="0"/>
        <v>1.05</v>
      </c>
      <c r="E27" s="10">
        <f>(PRODUCT($D$4:D26))^(1/(A26+B26))-1</f>
        <v>4.0022623978343441E-2</v>
      </c>
      <c r="K27" s="70" t="s">
        <v>44</v>
      </c>
    </row>
    <row r="28" spans="1:21" x14ac:dyDescent="0.25">
      <c r="A28" s="8">
        <v>24</v>
      </c>
      <c r="B28" s="8">
        <v>1</v>
      </c>
      <c r="C28" s="10">
        <v>5.0999999999999997E-2</v>
      </c>
      <c r="D28" s="11">
        <f t="shared" si="0"/>
        <v>1.0509999999999999</v>
      </c>
      <c r="E28" s="10">
        <f>(PRODUCT($D$4:D27))^(1/(A27+B27))-1</f>
        <v>4.043644884241604E-2</v>
      </c>
    </row>
    <row r="29" spans="1:21" x14ac:dyDescent="0.25">
      <c r="A29" s="8">
        <v>25</v>
      </c>
      <c r="B29" s="8">
        <v>1</v>
      </c>
      <c r="C29" s="10">
        <v>5.1999999999999998E-2</v>
      </c>
      <c r="D29" s="11">
        <f t="shared" si="0"/>
        <v>1.052</v>
      </c>
      <c r="E29" s="10">
        <f>(PRODUCT($D$4:D28))^(1/(A28+B28))-1</f>
        <v>4.0856945213119999E-2</v>
      </c>
    </row>
    <row r="31" spans="1:21" x14ac:dyDescent="0.25">
      <c r="A31" t="s">
        <v>45</v>
      </c>
    </row>
    <row r="32" spans="1:21" x14ac:dyDescent="0.25">
      <c r="A32" s="13" t="s">
        <v>46</v>
      </c>
      <c r="I32" s="3"/>
    </row>
    <row r="33" spans="1:19" x14ac:dyDescent="0.25">
      <c r="A33" s="13"/>
      <c r="B33" s="13"/>
      <c r="C33" s="13"/>
      <c r="D33" s="13"/>
      <c r="E33" s="13"/>
      <c r="I33" s="3" t="s">
        <v>10</v>
      </c>
    </row>
    <row r="34" spans="1:19" x14ac:dyDescent="0.25">
      <c r="A34" s="13"/>
      <c r="B34" s="13"/>
      <c r="C34" s="13"/>
      <c r="D34" s="13"/>
      <c r="E34" s="13"/>
    </row>
    <row r="35" spans="1:19" x14ac:dyDescent="0.25">
      <c r="A35" s="13"/>
      <c r="B35" s="13"/>
      <c r="C35" s="13"/>
      <c r="D35" s="13"/>
      <c r="E35" s="13"/>
    </row>
    <row r="36" spans="1:19" x14ac:dyDescent="0.25">
      <c r="A36" s="13"/>
      <c r="B36" s="13"/>
      <c r="C36" s="13"/>
      <c r="D36" s="13"/>
      <c r="E36" s="13"/>
    </row>
    <row r="37" spans="1:19" x14ac:dyDescent="0.25">
      <c r="A37" s="13"/>
      <c r="B37" s="13"/>
      <c r="C37" s="13"/>
      <c r="D37" s="13"/>
      <c r="E37" s="13"/>
    </row>
    <row r="38" spans="1:19" x14ac:dyDescent="0.25">
      <c r="A38" s="13"/>
      <c r="B38" s="13"/>
      <c r="C38" s="13"/>
      <c r="D38" s="13"/>
      <c r="E38" s="13"/>
    </row>
    <row r="39" spans="1:19" x14ac:dyDescent="0.25">
      <c r="A39" s="13"/>
      <c r="B39" s="13"/>
      <c r="C39" s="13"/>
      <c r="D39" s="13"/>
      <c r="E39" s="13"/>
    </row>
    <row r="40" spans="1:19" x14ac:dyDescent="0.25">
      <c r="A40" s="13"/>
      <c r="B40" s="13"/>
      <c r="C40" s="13"/>
      <c r="D40" s="13"/>
      <c r="E40" s="13"/>
    </row>
    <row r="41" spans="1:19" x14ac:dyDescent="0.25">
      <c r="A41" s="13"/>
      <c r="B41" s="13"/>
      <c r="C41" s="13"/>
      <c r="D41" s="13"/>
      <c r="E41" s="13"/>
    </row>
    <row r="42" spans="1:19" x14ac:dyDescent="0.25">
      <c r="A42" s="13"/>
      <c r="B42" s="13"/>
      <c r="C42" s="13"/>
      <c r="D42" s="13"/>
      <c r="E42" s="13"/>
      <c r="S42" s="3" t="s">
        <v>10</v>
      </c>
    </row>
    <row r="43" spans="1:19" x14ac:dyDescent="0.25">
      <c r="A43" s="13"/>
      <c r="B43" s="13"/>
      <c r="C43" s="13"/>
      <c r="D43" s="13"/>
      <c r="E43" s="13"/>
    </row>
    <row r="44" spans="1:19" x14ac:dyDescent="0.25">
      <c r="A44" s="13"/>
      <c r="B44" s="13"/>
      <c r="C44" s="13"/>
      <c r="D44" s="13"/>
      <c r="E44" s="13"/>
    </row>
    <row r="45" spans="1:19" x14ac:dyDescent="0.25">
      <c r="A45" s="13" t="s">
        <v>47</v>
      </c>
      <c r="B45" s="13"/>
      <c r="C45" s="13"/>
      <c r="D45" s="13"/>
      <c r="E45" s="13"/>
      <c r="I45" s="3" t="s">
        <v>1</v>
      </c>
    </row>
    <row r="46" spans="1:19" x14ac:dyDescent="0.25">
      <c r="A46" s="13" t="s">
        <v>48</v>
      </c>
      <c r="B46" s="13"/>
      <c r="C46" s="13"/>
      <c r="D46" s="13"/>
      <c r="E46" s="13"/>
    </row>
    <row r="47" spans="1:19" x14ac:dyDescent="0.25">
      <c r="A47" s="13" t="s">
        <v>49</v>
      </c>
      <c r="B47" s="13"/>
      <c r="C47" s="13"/>
      <c r="D47" s="13"/>
      <c r="E47" s="13"/>
    </row>
    <row r="48" spans="1:19" x14ac:dyDescent="0.25">
      <c r="A48" s="13"/>
      <c r="B48" s="13"/>
      <c r="C48" s="13"/>
      <c r="D48" s="13"/>
      <c r="E48" s="13"/>
    </row>
    <row r="49" spans="1:13" x14ac:dyDescent="0.25">
      <c r="A49" s="13" t="s">
        <v>50</v>
      </c>
      <c r="B49" s="13"/>
      <c r="C49" s="13"/>
      <c r="D49" s="13"/>
      <c r="E49" s="13"/>
      <c r="M49" s="3" t="s">
        <v>1</v>
      </c>
    </row>
    <row r="50" spans="1:13" x14ac:dyDescent="0.25">
      <c r="A50" s="13" t="s">
        <v>51</v>
      </c>
      <c r="B50" s="13"/>
      <c r="C50" s="13"/>
      <c r="D50" s="13"/>
      <c r="E50" s="13"/>
    </row>
    <row r="51" spans="1:13" x14ac:dyDescent="0.25">
      <c r="A51" s="13" t="s">
        <v>52</v>
      </c>
      <c r="B51" s="13"/>
      <c r="C51" s="13"/>
      <c r="D51" s="13"/>
      <c r="E51" s="13"/>
    </row>
    <row r="52" spans="1:13" x14ac:dyDescent="0.25">
      <c r="A52" s="13" t="s">
        <v>53</v>
      </c>
      <c r="B52" s="13"/>
      <c r="C52" s="13"/>
      <c r="D52" s="13"/>
      <c r="E52" s="13"/>
    </row>
    <row r="53" spans="1:13" x14ac:dyDescent="0.25">
      <c r="A53" s="13"/>
      <c r="B53" s="13"/>
      <c r="C53" s="13"/>
      <c r="D53" s="13"/>
      <c r="E53" s="13"/>
    </row>
    <row r="54" spans="1:13" x14ac:dyDescent="0.25">
      <c r="A54" t="s">
        <v>54</v>
      </c>
      <c r="M54" s="3" t="s">
        <v>1</v>
      </c>
    </row>
    <row r="55" spans="1:13" x14ac:dyDescent="0.25">
      <c r="A55" s="13" t="s">
        <v>55</v>
      </c>
    </row>
    <row r="56" spans="1:13" x14ac:dyDescent="0.25">
      <c r="A56" s="13" t="s">
        <v>56</v>
      </c>
    </row>
    <row r="57" spans="1:13" x14ac:dyDescent="0.25">
      <c r="A57" t="s">
        <v>57</v>
      </c>
    </row>
    <row r="58" spans="1:13" x14ac:dyDescent="0.25">
      <c r="A58" s="13" t="s">
        <v>58</v>
      </c>
    </row>
    <row r="59" spans="1:13" x14ac:dyDescent="0.25">
      <c r="A59" t="s">
        <v>59</v>
      </c>
    </row>
    <row r="61" spans="1:13" x14ac:dyDescent="0.25">
      <c r="M61" s="3" t="s">
        <v>60</v>
      </c>
    </row>
  </sheetData>
  <printOptions gridLines="1" gridLinesSet="0"/>
  <pageMargins left="0.7" right="0.7" top="0.75" bottom="0.75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workbookViewId="0">
      <selection activeCell="D6" sqref="D6"/>
    </sheetView>
  </sheetViews>
  <sheetFormatPr defaultRowHeight="15" x14ac:dyDescent="0.25"/>
  <sheetData>
    <row r="1" spans="1:5" x14ac:dyDescent="0.25">
      <c r="A1" t="s">
        <v>27</v>
      </c>
      <c r="D1" t="s">
        <v>45</v>
      </c>
      <c r="E1" t="s">
        <v>61</v>
      </c>
    </row>
    <row r="3" spans="1:5" x14ac:dyDescent="0.25">
      <c r="A3" s="8">
        <f>'Q2 all parts'!A4+'Q2 all parts'!B4</f>
        <v>1</v>
      </c>
      <c r="B3" s="2">
        <f>'Q2 all parts'!E5</f>
        <v>2.5000000000000001E-2</v>
      </c>
    </row>
    <row r="4" spans="1:5" x14ac:dyDescent="0.25">
      <c r="A4" s="8">
        <f>'Q2 all parts'!A5+'Q2 all parts'!B5</f>
        <v>2</v>
      </c>
      <c r="B4" s="2">
        <f>'Q2 all parts'!E6</f>
        <v>2.5249969519628879E-2</v>
      </c>
    </row>
    <row r="5" spans="1:5" x14ac:dyDescent="0.25">
      <c r="A5" s="8">
        <f>'Q2 all parts'!A6+'Q2 all parts'!B6</f>
        <v>3</v>
      </c>
      <c r="B5" s="2">
        <f>'Q2 all parts'!E7</f>
        <v>2.5666477117376463E-2</v>
      </c>
      <c r="D5" t="s">
        <v>28</v>
      </c>
      <c r="E5" t="s">
        <v>62</v>
      </c>
    </row>
    <row r="6" spans="1:5" x14ac:dyDescent="0.25">
      <c r="A6" s="8">
        <f>'Q2 all parts'!A7+'Q2 all parts'!B7</f>
        <v>4</v>
      </c>
      <c r="B6" s="2">
        <f>'Q2 all parts'!E8</f>
        <v>2.6199442278564966E-2</v>
      </c>
      <c r="E6" s="10">
        <f>'Q2 all parts'!H24</f>
        <v>3.6954032519415855E-2</v>
      </c>
    </row>
    <row r="7" spans="1:5" x14ac:dyDescent="0.25">
      <c r="A7" s="8">
        <f>'Q2 all parts'!A8+'Q2 all parts'!B8</f>
        <v>5</v>
      </c>
      <c r="B7" s="2">
        <f>'Q2 all parts'!E9</f>
        <v>2.6958430281006418E-2</v>
      </c>
    </row>
    <row r="8" spans="1:5" x14ac:dyDescent="0.25">
      <c r="A8" s="8">
        <f>'Q2 all parts'!A9+'Q2 all parts'!B9</f>
        <v>6</v>
      </c>
      <c r="B8" s="2">
        <f>'Q2 all parts'!E10</f>
        <v>2.7796978275606898E-2</v>
      </c>
    </row>
    <row r="9" spans="1:5" x14ac:dyDescent="0.25">
      <c r="A9" s="8">
        <f>'Q2 all parts'!A10+'Q2 all parts'!B10</f>
        <v>7</v>
      </c>
      <c r="B9" s="2">
        <f>'Q2 all parts'!E11</f>
        <v>2.8680840710980426E-2</v>
      </c>
      <c r="D9" t="s">
        <v>30</v>
      </c>
      <c r="E9" t="s">
        <v>63</v>
      </c>
    </row>
    <row r="10" spans="1:5" x14ac:dyDescent="0.25">
      <c r="A10" s="8">
        <f>'Q2 all parts'!A11+'Q2 all parts'!B11</f>
        <v>8</v>
      </c>
      <c r="B10" s="2">
        <f>'Q2 all parts'!E12</f>
        <v>2.9592900288942348E-2</v>
      </c>
      <c r="E10" s="2">
        <f>'Q2 all parts'!O5</f>
        <v>3.7674791085699481E-2</v>
      </c>
    </row>
    <row r="11" spans="1:5" x14ac:dyDescent="0.25">
      <c r="A11" s="8">
        <f>'Q2 all parts'!A12+'Q2 all parts'!B12</f>
        <v>9</v>
      </c>
      <c r="B11" s="2">
        <f>'Q2 all parts'!E13</f>
        <v>3.0523649789092389E-2</v>
      </c>
    </row>
    <row r="12" spans="1:5" x14ac:dyDescent="0.25">
      <c r="A12" s="8">
        <f>'Q2 all parts'!A13+'Q2 all parts'!B13</f>
        <v>10</v>
      </c>
      <c r="B12" s="2">
        <f>'Q2 all parts'!E14</f>
        <v>3.1467386136336151E-2</v>
      </c>
    </row>
    <row r="13" spans="1:5" x14ac:dyDescent="0.25">
      <c r="A13" s="8">
        <f>'Q2 all parts'!A14+'Q2 all parts'!B14</f>
        <v>11</v>
      </c>
      <c r="B13" s="2">
        <f>'Q2 all parts'!E15</f>
        <v>3.2420480873686985E-2</v>
      </c>
    </row>
    <row r="14" spans="1:5" x14ac:dyDescent="0.25">
      <c r="A14" s="8">
        <f>'Q2 all parts'!A15+'Q2 all parts'!B15</f>
        <v>12</v>
      </c>
      <c r="B14" s="2">
        <f>'Q2 all parts'!E16</f>
        <v>3.333926367492146E-2</v>
      </c>
    </row>
    <row r="15" spans="1:5" x14ac:dyDescent="0.25">
      <c r="A15" s="8">
        <f>'Q2 all parts'!A16+'Q2 all parts'!B16</f>
        <v>13</v>
      </c>
      <c r="B15" s="2">
        <f>'Q2 all parts'!E17</f>
        <v>3.4231605224278816E-2</v>
      </c>
    </row>
    <row r="16" spans="1:5" x14ac:dyDescent="0.25">
      <c r="A16" s="8">
        <f>'Q2 all parts'!A17+'Q2 all parts'!B17</f>
        <v>14</v>
      </c>
      <c r="B16" s="2">
        <f>'Q2 all parts'!E18</f>
        <v>3.5067796138153806E-2</v>
      </c>
    </row>
    <row r="17" spans="1:2" x14ac:dyDescent="0.25">
      <c r="A17" s="8">
        <f>'Q2 all parts'!A18+'Q2 all parts'!B18</f>
        <v>15</v>
      </c>
      <c r="B17" s="2">
        <f>'Q2 all parts'!E19</f>
        <v>3.5826042480712417E-2</v>
      </c>
    </row>
    <row r="18" spans="1:2" x14ac:dyDescent="0.25">
      <c r="A18" s="8">
        <f>'Q2 all parts'!A19+'Q2 all parts'!B19</f>
        <v>16</v>
      </c>
      <c r="B18" s="2">
        <f>'Q2 all parts'!E20</f>
        <v>3.6508531822868839E-2</v>
      </c>
    </row>
    <row r="19" spans="1:2" x14ac:dyDescent="0.25">
      <c r="A19" s="8">
        <f>'Q2 all parts'!A20+'Q2 all parts'!B20</f>
        <v>17</v>
      </c>
      <c r="B19" s="2">
        <f>'Q2 all parts'!E21</f>
        <v>3.7122756496530407E-2</v>
      </c>
    </row>
    <row r="20" spans="1:2" x14ac:dyDescent="0.25">
      <c r="A20" s="8">
        <f>'Q2 all parts'!A21+'Q2 all parts'!B21</f>
        <v>18</v>
      </c>
      <c r="B20" s="2">
        <f>'Q2 all parts'!E22</f>
        <v>3.7680050638520424E-2</v>
      </c>
    </row>
    <row r="21" spans="1:2" x14ac:dyDescent="0.25">
      <c r="A21" s="8">
        <f>'Q2 all parts'!A22+'Q2 all parts'!B22</f>
        <v>19</v>
      </c>
      <c r="B21" s="2">
        <f>'Q2 all parts'!E23</f>
        <v>3.8194587402438307E-2</v>
      </c>
    </row>
    <row r="22" spans="1:2" x14ac:dyDescent="0.25">
      <c r="A22" s="8">
        <f>'Q2 all parts'!A23+'Q2 all parts'!B23</f>
        <v>20</v>
      </c>
      <c r="B22" s="2">
        <f>'Q2 all parts'!E24</f>
        <v>3.8682671978860883E-2</v>
      </c>
    </row>
    <row r="23" spans="1:2" x14ac:dyDescent="0.25">
      <c r="A23" s="8">
        <f>'Q2 all parts'!A24+'Q2 all parts'!B24</f>
        <v>21</v>
      </c>
      <c r="B23" s="2">
        <f>'Q2 all parts'!E25</f>
        <v>3.914807254833752E-2</v>
      </c>
    </row>
    <row r="24" spans="1:2" x14ac:dyDescent="0.25">
      <c r="A24" s="8">
        <f>'Q2 all parts'!A25+'Q2 all parts'!B25</f>
        <v>22</v>
      </c>
      <c r="B24" s="2">
        <f>'Q2 all parts'!E26</f>
        <v>3.9593873537734803E-2</v>
      </c>
    </row>
    <row r="25" spans="1:2" x14ac:dyDescent="0.25">
      <c r="A25" s="8">
        <f>'Q2 all parts'!A26+'Q2 all parts'!B26</f>
        <v>23</v>
      </c>
      <c r="B25" s="2">
        <f>'Q2 all parts'!E27</f>
        <v>4.0022623978343441E-2</v>
      </c>
    </row>
    <row r="26" spans="1:2" x14ac:dyDescent="0.25">
      <c r="A26" s="8">
        <f>'Q2 all parts'!A27+'Q2 all parts'!B27</f>
        <v>24</v>
      </c>
      <c r="B26" s="2">
        <f>'Q2 all parts'!E28</f>
        <v>4.043644884241604E-2</v>
      </c>
    </row>
    <row r="27" spans="1:2" x14ac:dyDescent="0.25">
      <c r="A27" s="8">
        <f>'Q2 all parts'!A28+'Q2 all parts'!B28</f>
        <v>25</v>
      </c>
      <c r="B27" s="2">
        <f>'Q2 all parts'!E29</f>
        <v>4.0856945213119999E-2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41"/>
  <sheetViews>
    <sheetView topLeftCell="A19" workbookViewId="0">
      <selection activeCell="C39" sqref="C39"/>
    </sheetView>
  </sheetViews>
  <sheetFormatPr defaultRowHeight="15" x14ac:dyDescent="0.25"/>
  <cols>
    <col min="3" max="3" width="9.42578125" customWidth="1"/>
  </cols>
  <sheetData>
    <row r="1" spans="2:6" x14ac:dyDescent="0.25">
      <c r="B1" t="s">
        <v>64</v>
      </c>
    </row>
    <row r="3" spans="2:6" x14ac:dyDescent="0.25">
      <c r="B3" s="1" t="s">
        <v>65</v>
      </c>
    </row>
    <row r="5" spans="2:6" x14ac:dyDescent="0.25">
      <c r="C5" t="s">
        <v>66</v>
      </c>
      <c r="E5" s="14">
        <v>125000</v>
      </c>
    </row>
    <row r="6" spans="2:6" x14ac:dyDescent="0.25">
      <c r="C6" t="s">
        <v>67</v>
      </c>
      <c r="E6" s="14"/>
    </row>
    <row r="7" spans="2:6" x14ac:dyDescent="0.25">
      <c r="C7" t="s">
        <v>68</v>
      </c>
    </row>
    <row r="8" spans="2:6" x14ac:dyDescent="0.25">
      <c r="E8" s="15">
        <v>5.0000000000000001E-3</v>
      </c>
      <c r="F8" t="s">
        <v>69</v>
      </c>
    </row>
    <row r="9" spans="2:6" x14ac:dyDescent="0.25">
      <c r="E9" s="4">
        <v>0.03</v>
      </c>
      <c r="F9" t="s">
        <v>70</v>
      </c>
    </row>
    <row r="11" spans="2:6" x14ac:dyDescent="0.25">
      <c r="C11" t="s">
        <v>71</v>
      </c>
    </row>
    <row r="12" spans="2:6" x14ac:dyDescent="0.25">
      <c r="D12" t="s">
        <v>72</v>
      </c>
    </row>
    <row r="13" spans="2:6" x14ac:dyDescent="0.25">
      <c r="D13" s="16" t="s">
        <v>73</v>
      </c>
      <c r="E13" s="4">
        <v>0</v>
      </c>
    </row>
    <row r="14" spans="2:6" x14ac:dyDescent="0.25">
      <c r="D14" s="16" t="s">
        <v>74</v>
      </c>
      <c r="E14" s="4">
        <v>0.05</v>
      </c>
    </row>
    <row r="15" spans="2:6" x14ac:dyDescent="0.25">
      <c r="D15" s="16" t="s">
        <v>75</v>
      </c>
      <c r="E15" s="4">
        <v>0.1</v>
      </c>
    </row>
    <row r="16" spans="2:6" x14ac:dyDescent="0.25">
      <c r="D16" s="16" t="s">
        <v>76</v>
      </c>
      <c r="E16" s="4">
        <v>0.2</v>
      </c>
    </row>
    <row r="18" spans="2:11" x14ac:dyDescent="0.25">
      <c r="C18" t="s">
        <v>77</v>
      </c>
      <c r="F18" s="4">
        <v>0.2</v>
      </c>
    </row>
    <row r="20" spans="2:11" x14ac:dyDescent="0.25">
      <c r="B20" s="1" t="s">
        <v>78</v>
      </c>
    </row>
    <row r="21" spans="2:11" x14ac:dyDescent="0.25">
      <c r="C21" t="s">
        <v>79</v>
      </c>
      <c r="E21">
        <v>5000</v>
      </c>
      <c r="F21" t="s">
        <v>80</v>
      </c>
    </row>
    <row r="22" spans="2:11" x14ac:dyDescent="0.25">
      <c r="C22" t="s">
        <v>81</v>
      </c>
    </row>
    <row r="23" spans="2:11" x14ac:dyDescent="0.25">
      <c r="C23" t="s">
        <v>82</v>
      </c>
      <c r="D23" t="s">
        <v>83</v>
      </c>
    </row>
    <row r="24" spans="2:11" x14ac:dyDescent="0.25">
      <c r="C24" s="16">
        <v>1</v>
      </c>
      <c r="D24" s="4">
        <v>0.25</v>
      </c>
    </row>
    <row r="25" spans="2:11" x14ac:dyDescent="0.25">
      <c r="C25">
        <v>2</v>
      </c>
      <c r="D25" s="4">
        <v>0.5</v>
      </c>
    </row>
    <row r="26" spans="2:11" x14ac:dyDescent="0.25">
      <c r="C26" s="17">
        <v>3</v>
      </c>
      <c r="D26" s="4">
        <v>0.75</v>
      </c>
    </row>
    <row r="27" spans="2:11" x14ac:dyDescent="0.25">
      <c r="C27" s="17" t="s">
        <v>84</v>
      </c>
      <c r="D27" s="4">
        <v>1.01</v>
      </c>
    </row>
    <row r="28" spans="2:11" x14ac:dyDescent="0.25">
      <c r="C28" t="s">
        <v>85</v>
      </c>
      <c r="E28" s="4">
        <v>0.05</v>
      </c>
    </row>
    <row r="29" spans="2:11" x14ac:dyDescent="0.25">
      <c r="C29" t="s">
        <v>86</v>
      </c>
      <c r="K29" s="4">
        <v>0.01</v>
      </c>
    </row>
    <row r="30" spans="2:11" x14ac:dyDescent="0.25">
      <c r="C30" t="s">
        <v>87</v>
      </c>
      <c r="E30" s="2">
        <v>2.5000000000000001E-2</v>
      </c>
      <c r="F30" t="s">
        <v>88</v>
      </c>
    </row>
    <row r="31" spans="2:11" x14ac:dyDescent="0.25">
      <c r="C31" t="s">
        <v>89</v>
      </c>
    </row>
    <row r="32" spans="2:11" x14ac:dyDescent="0.25">
      <c r="D32" t="s">
        <v>90</v>
      </c>
    </row>
    <row r="33" spans="3:10" x14ac:dyDescent="0.25">
      <c r="D33" s="16" t="s">
        <v>91</v>
      </c>
      <c r="E33" s="4">
        <v>0</v>
      </c>
    </row>
    <row r="34" spans="3:10" x14ac:dyDescent="0.25">
      <c r="D34" s="16" t="s">
        <v>92</v>
      </c>
      <c r="E34" s="4">
        <v>0.05</v>
      </c>
    </row>
    <row r="35" spans="3:10" x14ac:dyDescent="0.25">
      <c r="D35" s="16" t="s">
        <v>74</v>
      </c>
      <c r="E35" s="4">
        <v>0.1</v>
      </c>
    </row>
    <row r="36" spans="3:10" x14ac:dyDescent="0.25">
      <c r="D36" s="16" t="s">
        <v>75</v>
      </c>
      <c r="E36" s="4">
        <v>0.2</v>
      </c>
    </row>
    <row r="37" spans="3:10" x14ac:dyDescent="0.25">
      <c r="D37" s="16" t="s">
        <v>76</v>
      </c>
      <c r="E37" s="4">
        <v>0.3</v>
      </c>
    </row>
    <row r="39" spans="3:10" x14ac:dyDescent="0.25">
      <c r="C39" t="s">
        <v>93</v>
      </c>
      <c r="I39" s="14">
        <v>125000</v>
      </c>
      <c r="J39" t="s">
        <v>94</v>
      </c>
    </row>
    <row r="41" spans="3:10" x14ac:dyDescent="0.25">
      <c r="C41" t="s">
        <v>77</v>
      </c>
      <c r="F41" s="4">
        <v>0.3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0"/>
  <sheetViews>
    <sheetView topLeftCell="K1" workbookViewId="0">
      <pane ySplit="4" topLeftCell="A5" activePane="bottomLeft" state="frozen"/>
      <selection activeCell="Q5" sqref="Q5"/>
      <selection pane="bottomLeft" activeCell="AA5" sqref="AA5"/>
    </sheetView>
  </sheetViews>
  <sheetFormatPr defaultRowHeight="15" x14ac:dyDescent="0.25"/>
  <cols>
    <col min="3" max="3" width="9.7109375" customWidth="1"/>
    <col min="5" max="6" width="12" bestFit="1" customWidth="1"/>
    <col min="9" max="9" width="10.5703125" bestFit="1" customWidth="1"/>
    <col min="10" max="10" width="11.28515625" customWidth="1"/>
    <col min="14" max="14" width="9.140625" style="8"/>
    <col min="17" max="17" width="9.5703125" bestFit="1" customWidth="1"/>
    <col min="18" max="19" width="11.5703125" bestFit="1" customWidth="1"/>
    <col min="20" max="20" width="15.140625" customWidth="1"/>
    <col min="21" max="21" width="9.5703125" bestFit="1" customWidth="1"/>
    <col min="22" max="22" width="11.5703125" bestFit="1" customWidth="1"/>
    <col min="24" max="24" width="12.85546875" customWidth="1"/>
    <col min="25" max="25" width="10.85546875" customWidth="1"/>
    <col min="26" max="26" width="11.5703125" bestFit="1" customWidth="1"/>
  </cols>
  <sheetData>
    <row r="1" spans="1:26" s="6" customFormat="1" x14ac:dyDescent="0.25">
      <c r="C1" s="6" t="s">
        <v>10</v>
      </c>
      <c r="D1" s="6" t="s">
        <v>10</v>
      </c>
      <c r="E1" s="6" t="s">
        <v>1</v>
      </c>
      <c r="I1" s="6" t="s">
        <v>1</v>
      </c>
      <c r="J1" s="6" t="s">
        <v>1</v>
      </c>
      <c r="K1" s="6" t="s">
        <v>10</v>
      </c>
      <c r="O1" s="6" t="s">
        <v>10</v>
      </c>
      <c r="P1" s="6" t="s">
        <v>10</v>
      </c>
      <c r="Q1" s="6" t="s">
        <v>1</v>
      </c>
      <c r="S1" s="6" t="s">
        <v>10</v>
      </c>
      <c r="T1" s="6" t="s">
        <v>10</v>
      </c>
      <c r="U1" s="6" t="s">
        <v>10</v>
      </c>
      <c r="V1" s="6" t="s">
        <v>10</v>
      </c>
      <c r="X1" s="6" t="s">
        <v>1</v>
      </c>
      <c r="Y1" s="6" t="s">
        <v>10</v>
      </c>
      <c r="Z1" s="6" t="s">
        <v>10</v>
      </c>
    </row>
    <row r="2" spans="1:26" s="1" customFormat="1" x14ac:dyDescent="0.25">
      <c r="A2" s="1" t="s">
        <v>65</v>
      </c>
      <c r="N2" s="9" t="s">
        <v>78</v>
      </c>
      <c r="Q2" s="1">
        <f>'Q3 Base'!E21</f>
        <v>5000</v>
      </c>
    </row>
    <row r="3" spans="1:26" x14ac:dyDescent="0.25">
      <c r="C3" s="14">
        <f>'Q3 Base'!E5</f>
        <v>125000</v>
      </c>
      <c r="D3" s="15">
        <f>'Q3 Base'!E8</f>
        <v>5.0000000000000001E-3</v>
      </c>
      <c r="E3" s="4">
        <f>'Q3 Base'!E9</f>
        <v>0.03</v>
      </c>
      <c r="Q3" s="4">
        <f>'Q3 Base'!E28</f>
        <v>0.05</v>
      </c>
      <c r="R3" s="4"/>
      <c r="S3" s="2">
        <f>'Q3 Base'!E30</f>
        <v>2.5000000000000001E-2</v>
      </c>
      <c r="T3" s="2"/>
      <c r="U3" s="4">
        <f>'Q3 Base'!K29</f>
        <v>0.01</v>
      </c>
      <c r="Y3" s="14">
        <f>'Q3 Base'!I39</f>
        <v>125000</v>
      </c>
    </row>
    <row r="4" spans="1:26" s="7" customFormat="1" ht="48.75" customHeight="1" x14ac:dyDescent="0.25">
      <c r="B4" s="7" t="s">
        <v>82</v>
      </c>
      <c r="C4" s="50" t="s">
        <v>95</v>
      </c>
      <c r="D4" s="50" t="s">
        <v>96</v>
      </c>
      <c r="E4" s="50" t="s">
        <v>97</v>
      </c>
      <c r="F4" s="50" t="s">
        <v>98</v>
      </c>
      <c r="G4" s="50" t="s">
        <v>99</v>
      </c>
      <c r="H4" s="50" t="s">
        <v>100</v>
      </c>
      <c r="I4" s="50" t="s">
        <v>101</v>
      </c>
      <c r="J4" s="51" t="s">
        <v>102</v>
      </c>
      <c r="K4" s="53" t="s">
        <v>103</v>
      </c>
      <c r="N4" s="7" t="s">
        <v>82</v>
      </c>
      <c r="O4" s="52" t="s">
        <v>104</v>
      </c>
      <c r="P4" s="52" t="s">
        <v>105</v>
      </c>
      <c r="Q4" s="52" t="s">
        <v>106</v>
      </c>
      <c r="R4" s="52" t="s">
        <v>107</v>
      </c>
      <c r="S4" s="52" t="s">
        <v>108</v>
      </c>
      <c r="T4" s="52" t="s">
        <v>109</v>
      </c>
      <c r="U4" s="52" t="s">
        <v>110</v>
      </c>
      <c r="V4" s="52" t="s">
        <v>111</v>
      </c>
      <c r="W4" s="46" t="s">
        <v>100</v>
      </c>
      <c r="X4" s="46" t="s">
        <v>112</v>
      </c>
      <c r="Y4" s="46" t="s">
        <v>102</v>
      </c>
      <c r="Z4" s="53" t="s">
        <v>103</v>
      </c>
    </row>
    <row r="5" spans="1:26" x14ac:dyDescent="0.25">
      <c r="B5" s="8">
        <v>1</v>
      </c>
      <c r="C5" s="14">
        <f t="shared" ref="C5:C29" si="0">$C$3</f>
        <v>125000</v>
      </c>
      <c r="D5">
        <f t="shared" ref="D5:D29" si="1">$D$3*C5</f>
        <v>625</v>
      </c>
      <c r="E5" s="18">
        <v>0</v>
      </c>
      <c r="F5" s="18">
        <f>D5+E5</f>
        <v>625</v>
      </c>
      <c r="G5" s="14">
        <f t="shared" ref="G5:G29" si="2">C5+F5</f>
        <v>125625</v>
      </c>
      <c r="H5" s="4">
        <f>'Q3 Base'!$E$13</f>
        <v>0</v>
      </c>
      <c r="I5" s="18">
        <f>C5*H5</f>
        <v>0</v>
      </c>
      <c r="J5" s="14">
        <f>C5+I5</f>
        <v>125000</v>
      </c>
      <c r="N5" s="8">
        <v>1</v>
      </c>
      <c r="O5">
        <v>0</v>
      </c>
      <c r="P5" s="4">
        <f>'Q3 Base'!$D$24</f>
        <v>0.25</v>
      </c>
      <c r="Q5" s="18">
        <f t="shared" ref="Q5:Q29" si="3">$Q$2*P5*(1-$Q$3)</f>
        <v>1187.5</v>
      </c>
      <c r="R5" s="18">
        <f>O5+Q5</f>
        <v>1187.5</v>
      </c>
      <c r="S5" s="18">
        <f t="shared" ref="S5:S29" si="4">(O5+Q5)*(1+$S$3)^0.5</f>
        <v>1202.2521184219222</v>
      </c>
      <c r="T5" s="18">
        <f t="shared" ref="T5:T29" si="5">(O5+Q5)*(1+$S$3)</f>
        <v>1217.1875</v>
      </c>
      <c r="U5" s="18">
        <f t="shared" ref="U5:U29" si="6">T5*$U$3</f>
        <v>12.171875</v>
      </c>
      <c r="V5" s="18">
        <f t="shared" ref="V5:V29" si="7">T5-U5</f>
        <v>1205.015625</v>
      </c>
      <c r="W5" s="4">
        <f>'Q3 Base'!$E$33</f>
        <v>0</v>
      </c>
      <c r="X5" s="18">
        <f t="shared" ref="X5:X29" si="8">S5*(1+W5)</f>
        <v>1202.2521184219222</v>
      </c>
      <c r="Y5" s="14">
        <f t="shared" ref="Y5:Y29" si="9">MAX(X5,$Y$3)</f>
        <v>125000</v>
      </c>
    </row>
    <row r="6" spans="1:26" x14ac:dyDescent="0.25">
      <c r="B6" s="8">
        <v>2</v>
      </c>
      <c r="C6" s="14">
        <f t="shared" si="0"/>
        <v>125000</v>
      </c>
      <c r="D6">
        <f t="shared" si="1"/>
        <v>625</v>
      </c>
      <c r="E6" s="18">
        <f t="shared" ref="E6:E29" si="10">(F5)*$E$3</f>
        <v>18.75</v>
      </c>
      <c r="F6" s="18">
        <f t="shared" ref="F6:F29" si="11">F5+D6+E6</f>
        <v>1268.75</v>
      </c>
      <c r="G6" s="14">
        <f t="shared" si="2"/>
        <v>126268.75</v>
      </c>
      <c r="H6" s="4">
        <f>'Q3 Base'!$E$13</f>
        <v>0</v>
      </c>
      <c r="I6" s="18">
        <f t="shared" ref="I6:I29" si="12">G5*H6</f>
        <v>0</v>
      </c>
      <c r="J6" s="14">
        <f t="shared" ref="J6:J29" si="13">G5+I6</f>
        <v>125625</v>
      </c>
      <c r="N6" s="8">
        <v>2</v>
      </c>
      <c r="O6">
        <f t="shared" ref="O6:O29" si="14">V5</f>
        <v>1205.015625</v>
      </c>
      <c r="P6" s="4">
        <f>'Q3 Base'!D25</f>
        <v>0.5</v>
      </c>
      <c r="Q6" s="18">
        <f t="shared" si="3"/>
        <v>2375</v>
      </c>
      <c r="R6" s="18">
        <f t="shared" ref="R6:R28" si="15">O6+Q6</f>
        <v>3580.015625</v>
      </c>
      <c r="S6" s="18">
        <f t="shared" si="4"/>
        <v>3624.4895740124898</v>
      </c>
      <c r="T6" s="18">
        <f t="shared" si="5"/>
        <v>3669.5160156249999</v>
      </c>
      <c r="U6" s="18">
        <f t="shared" si="6"/>
        <v>36.695160156249997</v>
      </c>
      <c r="V6" s="18">
        <f t="shared" si="7"/>
        <v>3632.8208554687499</v>
      </c>
      <c r="W6" s="4">
        <f>'Q3 Base'!$E$33</f>
        <v>0</v>
      </c>
      <c r="X6" s="18">
        <f t="shared" si="8"/>
        <v>3624.4895740124898</v>
      </c>
      <c r="Y6" s="14">
        <f t="shared" si="9"/>
        <v>125000</v>
      </c>
    </row>
    <row r="7" spans="1:26" x14ac:dyDescent="0.25">
      <c r="B7" s="8">
        <v>3</v>
      </c>
      <c r="C7" s="14">
        <f t="shared" si="0"/>
        <v>125000</v>
      </c>
      <c r="D7">
        <f t="shared" si="1"/>
        <v>625</v>
      </c>
      <c r="E7" s="18">
        <f t="shared" si="10"/>
        <v>38.0625</v>
      </c>
      <c r="F7" s="18">
        <f t="shared" si="11"/>
        <v>1931.8125</v>
      </c>
      <c r="G7" s="14">
        <f t="shared" si="2"/>
        <v>126931.8125</v>
      </c>
      <c r="H7" s="4">
        <f>'Q3 Base'!$E$13</f>
        <v>0</v>
      </c>
      <c r="I7" s="18">
        <f t="shared" si="12"/>
        <v>0</v>
      </c>
      <c r="J7" s="14">
        <f t="shared" si="13"/>
        <v>126268.75</v>
      </c>
      <c r="N7" s="8">
        <v>3</v>
      </c>
      <c r="O7">
        <f t="shared" si="14"/>
        <v>3632.8208554687499</v>
      </c>
      <c r="P7" s="4">
        <f>'Q3 Base'!D26</f>
        <v>0.75</v>
      </c>
      <c r="Q7" s="18">
        <f t="shared" si="3"/>
        <v>3562.5</v>
      </c>
      <c r="R7" s="18">
        <f t="shared" si="15"/>
        <v>7195.3208554687499</v>
      </c>
      <c r="S7" s="18">
        <f t="shared" si="4"/>
        <v>7284.7071504949408</v>
      </c>
      <c r="T7" s="18">
        <f t="shared" si="5"/>
        <v>7375.2038768554676</v>
      </c>
      <c r="U7" s="18">
        <f t="shared" si="6"/>
        <v>73.752038768554684</v>
      </c>
      <c r="V7" s="18">
        <f t="shared" si="7"/>
        <v>7301.4518380869131</v>
      </c>
      <c r="W7" s="4">
        <f>'Q3 Base'!$E$33</f>
        <v>0</v>
      </c>
      <c r="X7" s="18">
        <f t="shared" si="8"/>
        <v>7284.7071504949408</v>
      </c>
      <c r="Y7" s="14">
        <f t="shared" si="9"/>
        <v>125000</v>
      </c>
    </row>
    <row r="8" spans="1:26" x14ac:dyDescent="0.25">
      <c r="B8" s="8">
        <v>4</v>
      </c>
      <c r="C8" s="14">
        <f t="shared" si="0"/>
        <v>125000</v>
      </c>
      <c r="D8">
        <f t="shared" si="1"/>
        <v>625</v>
      </c>
      <c r="E8" s="18">
        <f t="shared" si="10"/>
        <v>57.954374999999999</v>
      </c>
      <c r="F8" s="18">
        <f t="shared" si="11"/>
        <v>2614.7668749999998</v>
      </c>
      <c r="G8" s="14">
        <f t="shared" si="2"/>
        <v>127614.766875</v>
      </c>
      <c r="H8" s="4">
        <f>'Q3 Base'!$E$13</f>
        <v>0</v>
      </c>
      <c r="I8" s="18">
        <f t="shared" si="12"/>
        <v>0</v>
      </c>
      <c r="J8" s="14">
        <f t="shared" si="13"/>
        <v>126931.8125</v>
      </c>
      <c r="N8" s="8">
        <v>4</v>
      </c>
      <c r="O8">
        <f t="shared" si="14"/>
        <v>7301.4518380869131</v>
      </c>
      <c r="P8" s="4">
        <f>'Q3 Base'!$D$27</f>
        <v>1.01</v>
      </c>
      <c r="Q8" s="18">
        <f t="shared" si="3"/>
        <v>4797.5</v>
      </c>
      <c r="R8" s="18">
        <f t="shared" si="15"/>
        <v>12098.951838086912</v>
      </c>
      <c r="S8" s="18">
        <f t="shared" si="4"/>
        <v>12249.255139389305</v>
      </c>
      <c r="T8" s="18">
        <f t="shared" si="5"/>
        <v>12401.425634039084</v>
      </c>
      <c r="U8" s="18">
        <f t="shared" si="6"/>
        <v>124.01425634039084</v>
      </c>
      <c r="V8" s="18">
        <f t="shared" si="7"/>
        <v>12277.411377698692</v>
      </c>
      <c r="W8" s="4">
        <f>'Q3 Base'!$E$33</f>
        <v>0</v>
      </c>
      <c r="X8" s="18">
        <f t="shared" si="8"/>
        <v>12249.255139389305</v>
      </c>
      <c r="Y8" s="14">
        <f t="shared" si="9"/>
        <v>125000</v>
      </c>
    </row>
    <row r="9" spans="1:26" x14ac:dyDescent="0.25">
      <c r="B9" s="8">
        <v>5</v>
      </c>
      <c r="C9" s="14">
        <f t="shared" si="0"/>
        <v>125000</v>
      </c>
      <c r="D9">
        <f t="shared" si="1"/>
        <v>625</v>
      </c>
      <c r="E9" s="18">
        <f t="shared" si="10"/>
        <v>78.443006249999996</v>
      </c>
      <c r="F9" s="18">
        <f t="shared" si="11"/>
        <v>3318.2098812499999</v>
      </c>
      <c r="G9" s="14">
        <f t="shared" si="2"/>
        <v>128318.20988125</v>
      </c>
      <c r="H9" s="4">
        <f>'Q3 Base'!$E$13</f>
        <v>0</v>
      </c>
      <c r="I9" s="18">
        <f t="shared" si="12"/>
        <v>0</v>
      </c>
      <c r="J9" s="14">
        <f t="shared" si="13"/>
        <v>127614.766875</v>
      </c>
      <c r="N9" s="8">
        <v>5</v>
      </c>
      <c r="O9">
        <f t="shared" si="14"/>
        <v>12277.411377698692</v>
      </c>
      <c r="P9" s="4">
        <f>'Q3 Base'!$D$27</f>
        <v>1.01</v>
      </c>
      <c r="Q9" s="18">
        <f t="shared" si="3"/>
        <v>4797.5</v>
      </c>
      <c r="R9" s="18">
        <f t="shared" si="15"/>
        <v>17074.911377698692</v>
      </c>
      <c r="S9" s="18">
        <f t="shared" si="4"/>
        <v>17287.030211119862</v>
      </c>
      <c r="T9" s="18">
        <f t="shared" si="5"/>
        <v>17501.784162141157</v>
      </c>
      <c r="U9" s="18">
        <f t="shared" si="6"/>
        <v>175.01784162141158</v>
      </c>
      <c r="V9" s="18">
        <f t="shared" si="7"/>
        <v>17326.766320519746</v>
      </c>
      <c r="W9" s="4">
        <f>'Q3 Base'!$E$33</f>
        <v>0</v>
      </c>
      <c r="X9" s="18">
        <f t="shared" si="8"/>
        <v>17287.030211119862</v>
      </c>
      <c r="Y9" s="14">
        <f t="shared" si="9"/>
        <v>125000</v>
      </c>
    </row>
    <row r="10" spans="1:26" x14ac:dyDescent="0.25">
      <c r="B10" s="8">
        <v>6</v>
      </c>
      <c r="C10" s="14">
        <f t="shared" si="0"/>
        <v>125000</v>
      </c>
      <c r="D10">
        <f t="shared" si="1"/>
        <v>625</v>
      </c>
      <c r="E10" s="18">
        <f t="shared" si="10"/>
        <v>99.54629643749999</v>
      </c>
      <c r="F10" s="18">
        <f t="shared" si="11"/>
        <v>4042.7561776875</v>
      </c>
      <c r="G10" s="14">
        <f t="shared" si="2"/>
        <v>129042.75617768749</v>
      </c>
      <c r="H10" s="4">
        <f>'Q3 Base'!$E$13</f>
        <v>0</v>
      </c>
      <c r="I10" s="18">
        <f t="shared" si="12"/>
        <v>0</v>
      </c>
      <c r="J10" s="14">
        <f t="shared" si="13"/>
        <v>128318.20988125</v>
      </c>
      <c r="N10" s="8">
        <v>6</v>
      </c>
      <c r="O10">
        <f t="shared" si="14"/>
        <v>17326.766320519746</v>
      </c>
      <c r="P10" s="4">
        <f>'Q3 Base'!$D$27</f>
        <v>1.01</v>
      </c>
      <c r="Q10" s="18">
        <f t="shared" si="3"/>
        <v>4797.5</v>
      </c>
      <c r="R10" s="18">
        <f t="shared" si="15"/>
        <v>22124.266320519746</v>
      </c>
      <c r="S10" s="18">
        <f t="shared" si="4"/>
        <v>22399.112465158443</v>
      </c>
      <c r="T10" s="18">
        <f t="shared" si="5"/>
        <v>22677.372978532738</v>
      </c>
      <c r="U10" s="18">
        <f t="shared" si="6"/>
        <v>226.77372978532739</v>
      </c>
      <c r="V10" s="18">
        <f t="shared" si="7"/>
        <v>22450.59924874741</v>
      </c>
      <c r="W10" s="4">
        <f>'Q3 Base'!$E$34</f>
        <v>0.05</v>
      </c>
      <c r="X10" s="18">
        <f t="shared" si="8"/>
        <v>23519.068088416367</v>
      </c>
      <c r="Y10" s="14">
        <f t="shared" si="9"/>
        <v>125000</v>
      </c>
    </row>
    <row r="11" spans="1:26" x14ac:dyDescent="0.25">
      <c r="B11" s="8">
        <v>7</v>
      </c>
      <c r="C11" s="14">
        <f t="shared" si="0"/>
        <v>125000</v>
      </c>
      <c r="D11">
        <f t="shared" si="1"/>
        <v>625</v>
      </c>
      <c r="E11" s="18">
        <f t="shared" si="10"/>
        <v>121.282685330625</v>
      </c>
      <c r="F11" s="18">
        <f t="shared" si="11"/>
        <v>4789.0388630181251</v>
      </c>
      <c r="G11" s="14">
        <f t="shared" si="2"/>
        <v>129789.03886301813</v>
      </c>
      <c r="H11" s="4">
        <f>'Q3 Base'!$E$13</f>
        <v>0</v>
      </c>
      <c r="I11" s="18">
        <f t="shared" si="12"/>
        <v>0</v>
      </c>
      <c r="J11" s="14">
        <f t="shared" si="13"/>
        <v>129042.75617768749</v>
      </c>
      <c r="N11" s="8">
        <v>7</v>
      </c>
      <c r="O11">
        <f t="shared" si="14"/>
        <v>22450.59924874741</v>
      </c>
      <c r="P11" s="4">
        <f>'Q3 Base'!$D$27</f>
        <v>1.01</v>
      </c>
      <c r="Q11" s="18">
        <f t="shared" si="3"/>
        <v>4797.5</v>
      </c>
      <c r="R11" s="18">
        <f t="shared" si="15"/>
        <v>27248.09924874741</v>
      </c>
      <c r="S11" s="18">
        <f t="shared" si="4"/>
        <v>27586.597932444092</v>
      </c>
      <c r="T11" s="18">
        <f t="shared" si="5"/>
        <v>27929.301729966093</v>
      </c>
      <c r="U11" s="18">
        <f t="shared" si="6"/>
        <v>279.29301729966096</v>
      </c>
      <c r="V11" s="18">
        <f t="shared" si="7"/>
        <v>27650.008712666433</v>
      </c>
      <c r="W11" s="4">
        <f>'Q3 Base'!$E$34</f>
        <v>0.05</v>
      </c>
      <c r="X11" s="18">
        <f t="shared" si="8"/>
        <v>28965.927829066299</v>
      </c>
      <c r="Y11" s="14">
        <f t="shared" si="9"/>
        <v>125000</v>
      </c>
    </row>
    <row r="12" spans="1:26" x14ac:dyDescent="0.25">
      <c r="B12" s="8">
        <v>8</v>
      </c>
      <c r="C12" s="14">
        <f t="shared" si="0"/>
        <v>125000</v>
      </c>
      <c r="D12">
        <f t="shared" si="1"/>
        <v>625</v>
      </c>
      <c r="E12" s="18">
        <f t="shared" si="10"/>
        <v>143.67116589054373</v>
      </c>
      <c r="F12" s="18">
        <f t="shared" si="11"/>
        <v>5557.7100289086684</v>
      </c>
      <c r="G12" s="14">
        <f t="shared" si="2"/>
        <v>130557.71002890867</v>
      </c>
      <c r="H12" s="4">
        <f>'Q3 Base'!$E$13</f>
        <v>0</v>
      </c>
      <c r="I12" s="18">
        <f t="shared" si="12"/>
        <v>0</v>
      </c>
      <c r="J12" s="14">
        <f t="shared" si="13"/>
        <v>129789.03886301813</v>
      </c>
      <c r="N12" s="8">
        <v>8</v>
      </c>
      <c r="O12">
        <f t="shared" si="14"/>
        <v>27650.008712666433</v>
      </c>
      <c r="P12" s="4">
        <f>'Q3 Base'!$D$27</f>
        <v>1.01</v>
      </c>
      <c r="Q12" s="18">
        <f t="shared" si="3"/>
        <v>4797.5</v>
      </c>
      <c r="R12" s="18">
        <f t="shared" si="15"/>
        <v>32447.508712666433</v>
      </c>
      <c r="S12" s="18">
        <f t="shared" si="4"/>
        <v>32850.598810372205</v>
      </c>
      <c r="T12" s="18">
        <f t="shared" si="5"/>
        <v>33258.696430483091</v>
      </c>
      <c r="U12" s="18">
        <f t="shared" si="6"/>
        <v>332.58696430483093</v>
      </c>
      <c r="V12" s="18">
        <f t="shared" si="7"/>
        <v>32926.109466178263</v>
      </c>
      <c r="W12" s="4">
        <f>'Q3 Base'!$E$34</f>
        <v>0.05</v>
      </c>
      <c r="X12" s="18">
        <f t="shared" si="8"/>
        <v>34493.128750890814</v>
      </c>
      <c r="Y12" s="14">
        <f t="shared" si="9"/>
        <v>125000</v>
      </c>
    </row>
    <row r="13" spans="1:26" x14ac:dyDescent="0.25">
      <c r="B13" s="8">
        <v>9</v>
      </c>
      <c r="C13" s="14">
        <f t="shared" si="0"/>
        <v>125000</v>
      </c>
      <c r="D13">
        <f t="shared" si="1"/>
        <v>625</v>
      </c>
      <c r="E13" s="18">
        <f t="shared" si="10"/>
        <v>166.73130086726005</v>
      </c>
      <c r="F13" s="18">
        <f t="shared" si="11"/>
        <v>6349.4413297759284</v>
      </c>
      <c r="G13" s="14">
        <f t="shared" si="2"/>
        <v>131349.44132977593</v>
      </c>
      <c r="H13" s="4">
        <f>'Q3 Base'!$E$13</f>
        <v>0</v>
      </c>
      <c r="I13" s="18">
        <f t="shared" si="12"/>
        <v>0</v>
      </c>
      <c r="J13" s="14">
        <f t="shared" si="13"/>
        <v>130557.71002890867</v>
      </c>
      <c r="N13" s="8">
        <v>9</v>
      </c>
      <c r="O13">
        <f t="shared" si="14"/>
        <v>32926.109466178263</v>
      </c>
      <c r="P13" s="4">
        <f>'Q3 Base'!$D$27</f>
        <v>1.01</v>
      </c>
      <c r="Q13" s="18">
        <f t="shared" si="3"/>
        <v>4797.5</v>
      </c>
      <c r="R13" s="18">
        <f t="shared" si="15"/>
        <v>37723.609466178263</v>
      </c>
      <c r="S13" s="18">
        <f t="shared" si="4"/>
        <v>38192.243701249761</v>
      </c>
      <c r="T13" s="18">
        <f t="shared" si="5"/>
        <v>38666.699702832717</v>
      </c>
      <c r="U13" s="18">
        <f t="shared" si="6"/>
        <v>386.66699702832716</v>
      </c>
      <c r="V13" s="18">
        <f t="shared" si="7"/>
        <v>38280.032705804391</v>
      </c>
      <c r="W13" s="4">
        <f>'Q3 Base'!$E$34</f>
        <v>0.05</v>
      </c>
      <c r="X13" s="18">
        <f t="shared" si="8"/>
        <v>40101.855886312253</v>
      </c>
      <c r="Y13" s="14">
        <f t="shared" si="9"/>
        <v>125000</v>
      </c>
    </row>
    <row r="14" spans="1:26" x14ac:dyDescent="0.25">
      <c r="B14" s="8">
        <v>10</v>
      </c>
      <c r="C14" s="14">
        <f t="shared" si="0"/>
        <v>125000</v>
      </c>
      <c r="D14">
        <f t="shared" si="1"/>
        <v>625</v>
      </c>
      <c r="E14" s="18">
        <f t="shared" si="10"/>
        <v>190.48323989327784</v>
      </c>
      <c r="F14" s="18">
        <f t="shared" si="11"/>
        <v>7164.924569669206</v>
      </c>
      <c r="G14" s="14">
        <f t="shared" si="2"/>
        <v>132164.92456966921</v>
      </c>
      <c r="H14" s="4">
        <f>'Q3 Base'!$E$13</f>
        <v>0</v>
      </c>
      <c r="I14" s="18">
        <f t="shared" si="12"/>
        <v>0</v>
      </c>
      <c r="J14" s="14">
        <f t="shared" si="13"/>
        <v>131349.44132977593</v>
      </c>
      <c r="N14" s="8">
        <v>10</v>
      </c>
      <c r="O14">
        <f t="shared" si="14"/>
        <v>38280.032705804391</v>
      </c>
      <c r="P14" s="4">
        <f>'Q3 Base'!$D$27</f>
        <v>1.01</v>
      </c>
      <c r="Q14" s="18">
        <f t="shared" si="3"/>
        <v>4797.5</v>
      </c>
      <c r="R14" s="18">
        <f t="shared" si="15"/>
        <v>43077.532705804391</v>
      </c>
      <c r="S14" s="18">
        <f t="shared" si="4"/>
        <v>43612.677854267764</v>
      </c>
      <c r="T14" s="18">
        <f t="shared" si="5"/>
        <v>44154.4710234495</v>
      </c>
      <c r="U14" s="18">
        <f t="shared" si="6"/>
        <v>441.54471023449503</v>
      </c>
      <c r="V14" s="18">
        <f t="shared" si="7"/>
        <v>43712.926313215008</v>
      </c>
      <c r="W14" s="4">
        <f>'Q3 Base'!$E$34</f>
        <v>0.05</v>
      </c>
      <c r="X14" s="18">
        <f t="shared" si="8"/>
        <v>45793.311746981155</v>
      </c>
      <c r="Y14" s="14">
        <f t="shared" si="9"/>
        <v>125000</v>
      </c>
    </row>
    <row r="15" spans="1:26" x14ac:dyDescent="0.25">
      <c r="B15" s="8">
        <v>11</v>
      </c>
      <c r="C15" s="14">
        <f t="shared" si="0"/>
        <v>125000</v>
      </c>
      <c r="D15">
        <f t="shared" si="1"/>
        <v>625</v>
      </c>
      <c r="E15" s="18">
        <f t="shared" si="10"/>
        <v>214.94773709007617</v>
      </c>
      <c r="F15" s="18">
        <f t="shared" si="11"/>
        <v>8004.8723067592819</v>
      </c>
      <c r="G15" s="14">
        <f t="shared" si="2"/>
        <v>133004.87230675929</v>
      </c>
      <c r="H15" s="4">
        <f>'Q3 Base'!$E$14</f>
        <v>0.05</v>
      </c>
      <c r="I15" s="18">
        <f t="shared" si="12"/>
        <v>6608.246228483461</v>
      </c>
      <c r="J15" s="14">
        <f t="shared" si="13"/>
        <v>138773.17079815266</v>
      </c>
      <c r="N15" s="8">
        <v>11</v>
      </c>
      <c r="O15">
        <f t="shared" si="14"/>
        <v>43712.926313215008</v>
      </c>
      <c r="P15" s="4">
        <f>'Q3 Base'!$D$27</f>
        <v>1.01</v>
      </c>
      <c r="Q15" s="18">
        <f t="shared" si="3"/>
        <v>4797.5</v>
      </c>
      <c r="R15" s="18">
        <f t="shared" si="15"/>
        <v>48510.426313215008</v>
      </c>
      <c r="S15" s="18">
        <f t="shared" si="4"/>
        <v>49113.063411042778</v>
      </c>
      <c r="T15" s="18">
        <f t="shared" si="5"/>
        <v>49723.186971045376</v>
      </c>
      <c r="U15" s="18">
        <f t="shared" si="6"/>
        <v>497.23186971045379</v>
      </c>
      <c r="V15" s="18">
        <f t="shared" si="7"/>
        <v>49225.955101334919</v>
      </c>
      <c r="W15" s="4">
        <f>'Q3 Base'!$E$35</f>
        <v>0.1</v>
      </c>
      <c r="X15" s="18">
        <f t="shared" si="8"/>
        <v>54024.36975214706</v>
      </c>
      <c r="Y15" s="14">
        <f t="shared" si="9"/>
        <v>125000</v>
      </c>
    </row>
    <row r="16" spans="1:26" x14ac:dyDescent="0.25">
      <c r="B16" s="8">
        <v>12</v>
      </c>
      <c r="C16" s="14">
        <f t="shared" si="0"/>
        <v>125000</v>
      </c>
      <c r="D16">
        <f t="shared" si="1"/>
        <v>625</v>
      </c>
      <c r="E16" s="18">
        <f t="shared" si="10"/>
        <v>240.14616920277845</v>
      </c>
      <c r="F16" s="18">
        <f t="shared" si="11"/>
        <v>8870.0184759620606</v>
      </c>
      <c r="G16" s="14">
        <f t="shared" si="2"/>
        <v>133870.01847596205</v>
      </c>
      <c r="H16" s="4">
        <f>'Q3 Base'!$E$14</f>
        <v>0.05</v>
      </c>
      <c r="I16" s="18">
        <f t="shared" si="12"/>
        <v>6650.2436153379649</v>
      </c>
      <c r="J16" s="14">
        <f t="shared" si="13"/>
        <v>139655.11592209726</v>
      </c>
      <c r="N16" s="8">
        <v>12</v>
      </c>
      <c r="O16">
        <f t="shared" si="14"/>
        <v>49225.955101334919</v>
      </c>
      <c r="P16" s="4">
        <f>'Q3 Base'!$D$27</f>
        <v>1.01</v>
      </c>
      <c r="Q16" s="18">
        <f t="shared" si="3"/>
        <v>4797.5</v>
      </c>
      <c r="R16" s="18">
        <f t="shared" si="15"/>
        <v>54023.455101334919</v>
      </c>
      <c r="S16" s="18">
        <f t="shared" si="4"/>
        <v>54694.579654780217</v>
      </c>
      <c r="T16" s="18">
        <f t="shared" si="5"/>
        <v>55374.04147886829</v>
      </c>
      <c r="U16" s="18">
        <f t="shared" si="6"/>
        <v>553.74041478868287</v>
      </c>
      <c r="V16" s="18">
        <f t="shared" si="7"/>
        <v>54820.301064079606</v>
      </c>
      <c r="W16" s="4">
        <f>'Q3 Base'!$E$35</f>
        <v>0.1</v>
      </c>
      <c r="X16" s="18">
        <f t="shared" si="8"/>
        <v>60164.037620258241</v>
      </c>
      <c r="Y16" s="14">
        <f t="shared" si="9"/>
        <v>125000</v>
      </c>
    </row>
    <row r="17" spans="2:26" x14ac:dyDescent="0.25">
      <c r="B17" s="8">
        <v>13</v>
      </c>
      <c r="C17" s="14">
        <f t="shared" si="0"/>
        <v>125000</v>
      </c>
      <c r="D17">
        <f t="shared" si="1"/>
        <v>625</v>
      </c>
      <c r="E17" s="18">
        <f t="shared" si="10"/>
        <v>266.10055427886181</v>
      </c>
      <c r="F17" s="18">
        <f t="shared" si="11"/>
        <v>9761.1190302409232</v>
      </c>
      <c r="G17" s="14">
        <f t="shared" si="2"/>
        <v>134761.11903024092</v>
      </c>
      <c r="H17" s="4">
        <f>'Q3 Base'!$E$14</f>
        <v>0.05</v>
      </c>
      <c r="I17" s="18">
        <f t="shared" si="12"/>
        <v>6693.500923798103</v>
      </c>
      <c r="J17" s="14">
        <f t="shared" si="13"/>
        <v>140563.51939976015</v>
      </c>
      <c r="N17" s="8">
        <v>13</v>
      </c>
      <c r="O17">
        <f t="shared" si="14"/>
        <v>54820.301064079606</v>
      </c>
      <c r="P17" s="4">
        <f>'Q3 Base'!$D$27</f>
        <v>1.01</v>
      </c>
      <c r="Q17" s="18">
        <f t="shared" si="3"/>
        <v>4797.5</v>
      </c>
      <c r="R17" s="18">
        <f t="shared" si="15"/>
        <v>59617.801064079606</v>
      </c>
      <c r="S17" s="18">
        <f t="shared" si="4"/>
        <v>60358.423263112789</v>
      </c>
      <c r="T17" s="18">
        <f t="shared" si="5"/>
        <v>61108.24609068159</v>
      </c>
      <c r="U17" s="18">
        <f t="shared" si="6"/>
        <v>611.08246090681587</v>
      </c>
      <c r="V17" s="18">
        <f t="shared" si="7"/>
        <v>60497.163629774775</v>
      </c>
      <c r="W17" s="4">
        <f>'Q3 Base'!$E$35</f>
        <v>0.1</v>
      </c>
      <c r="X17" s="18">
        <f t="shared" si="8"/>
        <v>66394.265589424074</v>
      </c>
      <c r="Y17" s="14">
        <f t="shared" si="9"/>
        <v>125000</v>
      </c>
    </row>
    <row r="18" spans="2:26" x14ac:dyDescent="0.25">
      <c r="B18" s="8">
        <v>14</v>
      </c>
      <c r="C18" s="14">
        <f t="shared" si="0"/>
        <v>125000</v>
      </c>
      <c r="D18">
        <f t="shared" si="1"/>
        <v>625</v>
      </c>
      <c r="E18" s="18">
        <f t="shared" si="10"/>
        <v>292.83357090722768</v>
      </c>
      <c r="F18" s="18">
        <f t="shared" si="11"/>
        <v>10678.95260114815</v>
      </c>
      <c r="G18" s="14">
        <f t="shared" si="2"/>
        <v>135678.95260114816</v>
      </c>
      <c r="H18" s="4">
        <f>'Q3 Base'!$E$14</f>
        <v>0.05</v>
      </c>
      <c r="I18" s="18">
        <f t="shared" si="12"/>
        <v>6738.0559515120467</v>
      </c>
      <c r="J18" s="14">
        <f t="shared" si="13"/>
        <v>141499.17498175296</v>
      </c>
      <c r="N18" s="8">
        <v>14</v>
      </c>
      <c r="O18">
        <f t="shared" si="14"/>
        <v>60497.163629774775</v>
      </c>
      <c r="P18" s="4">
        <f>'Q3 Base'!$D$27</f>
        <v>1.01</v>
      </c>
      <c r="Q18" s="18">
        <f t="shared" si="3"/>
        <v>4797.5</v>
      </c>
      <c r="R18" s="18">
        <f t="shared" si="15"/>
        <v>65294.663629774775</v>
      </c>
      <c r="S18" s="18">
        <f t="shared" si="4"/>
        <v>66105.808564668259</v>
      </c>
      <c r="T18" s="18">
        <f t="shared" si="5"/>
        <v>66927.03022051914</v>
      </c>
      <c r="U18" s="18">
        <f t="shared" si="6"/>
        <v>669.27030220519146</v>
      </c>
      <c r="V18" s="18">
        <f t="shared" si="7"/>
        <v>66257.759918313954</v>
      </c>
      <c r="W18" s="4">
        <f>'Q3 Base'!$E$35</f>
        <v>0.1</v>
      </c>
      <c r="X18" s="18">
        <f t="shared" si="8"/>
        <v>72716.389421135085</v>
      </c>
      <c r="Y18" s="14">
        <f t="shared" si="9"/>
        <v>125000</v>
      </c>
    </row>
    <row r="19" spans="2:26" x14ac:dyDescent="0.25">
      <c r="B19" s="8">
        <v>15</v>
      </c>
      <c r="C19" s="14">
        <f t="shared" si="0"/>
        <v>125000</v>
      </c>
      <c r="D19">
        <f t="shared" si="1"/>
        <v>625</v>
      </c>
      <c r="E19" s="18">
        <f t="shared" si="10"/>
        <v>320.36857803444451</v>
      </c>
      <c r="F19" s="18">
        <f t="shared" si="11"/>
        <v>11624.321179182594</v>
      </c>
      <c r="G19" s="14">
        <f t="shared" si="2"/>
        <v>136624.32117918259</v>
      </c>
      <c r="H19" s="4">
        <f>'Q3 Base'!$E$14</f>
        <v>0.05</v>
      </c>
      <c r="I19" s="18">
        <f t="shared" si="12"/>
        <v>6783.9476300574088</v>
      </c>
      <c r="J19" s="14">
        <f t="shared" si="13"/>
        <v>142462.90023120557</v>
      </c>
      <c r="N19" s="8">
        <v>15</v>
      </c>
      <c r="O19">
        <f t="shared" si="14"/>
        <v>66257.759918313954</v>
      </c>
      <c r="P19" s="4">
        <f>'Q3 Base'!$D$27</f>
        <v>1.01</v>
      </c>
      <c r="Q19" s="18">
        <f t="shared" si="3"/>
        <v>4797.5</v>
      </c>
      <c r="R19" s="18">
        <f t="shared" si="15"/>
        <v>71055.259918313954</v>
      </c>
      <c r="S19" s="18">
        <f t="shared" si="4"/>
        <v>71937.967799421676</v>
      </c>
      <c r="T19" s="18">
        <f t="shared" si="5"/>
        <v>72831.641416271799</v>
      </c>
      <c r="U19" s="18">
        <f t="shared" si="6"/>
        <v>728.31641416271805</v>
      </c>
      <c r="V19" s="18">
        <f t="shared" si="7"/>
        <v>72103.325002109079</v>
      </c>
      <c r="W19" s="4">
        <f>'Q3 Base'!$E$35</f>
        <v>0.1</v>
      </c>
      <c r="X19" s="18">
        <f t="shared" si="8"/>
        <v>79131.764579363851</v>
      </c>
      <c r="Y19" s="14">
        <f t="shared" si="9"/>
        <v>125000</v>
      </c>
    </row>
    <row r="20" spans="2:26" x14ac:dyDescent="0.25">
      <c r="B20" s="8">
        <v>16</v>
      </c>
      <c r="C20" s="14">
        <f t="shared" si="0"/>
        <v>125000</v>
      </c>
      <c r="D20">
        <f t="shared" si="1"/>
        <v>625</v>
      </c>
      <c r="E20" s="18">
        <f t="shared" si="10"/>
        <v>348.72963537547781</v>
      </c>
      <c r="F20" s="18">
        <f t="shared" si="11"/>
        <v>12598.050814558072</v>
      </c>
      <c r="G20" s="14">
        <f t="shared" si="2"/>
        <v>137598.05081455808</v>
      </c>
      <c r="H20" s="4">
        <f>'Q3 Base'!$E$15</f>
        <v>0.1</v>
      </c>
      <c r="I20" s="18">
        <f t="shared" si="12"/>
        <v>13662.432117918259</v>
      </c>
      <c r="J20" s="14">
        <f t="shared" si="13"/>
        <v>150286.75329710083</v>
      </c>
      <c r="N20" s="8">
        <v>16</v>
      </c>
      <c r="O20">
        <f t="shared" si="14"/>
        <v>72103.325002109079</v>
      </c>
      <c r="P20" s="4">
        <f>'Q3 Base'!$D$27</f>
        <v>1.01</v>
      </c>
      <c r="Q20" s="18">
        <f t="shared" si="3"/>
        <v>4797.5</v>
      </c>
      <c r="R20" s="18">
        <f t="shared" si="15"/>
        <v>76900.825002109079</v>
      </c>
      <c r="S20" s="18">
        <f t="shared" si="4"/>
        <v>77856.151382887707</v>
      </c>
      <c r="T20" s="18">
        <f t="shared" si="5"/>
        <v>78823.345627161805</v>
      </c>
      <c r="U20" s="18">
        <f t="shared" si="6"/>
        <v>788.23345627161802</v>
      </c>
      <c r="V20" s="18">
        <f t="shared" si="7"/>
        <v>78035.112170890192</v>
      </c>
      <c r="W20" s="4">
        <f>'Q3 Base'!$E$36</f>
        <v>0.2</v>
      </c>
      <c r="X20" s="18">
        <f t="shared" si="8"/>
        <v>93427.381659465245</v>
      </c>
      <c r="Y20" s="14">
        <f t="shared" si="9"/>
        <v>125000</v>
      </c>
    </row>
    <row r="21" spans="2:26" x14ac:dyDescent="0.25">
      <c r="B21" s="8">
        <v>17</v>
      </c>
      <c r="C21" s="14">
        <f t="shared" si="0"/>
        <v>125000</v>
      </c>
      <c r="D21">
        <f t="shared" si="1"/>
        <v>625</v>
      </c>
      <c r="E21" s="18">
        <f t="shared" si="10"/>
        <v>377.94152443674216</v>
      </c>
      <c r="F21" s="18">
        <f t="shared" si="11"/>
        <v>13600.992338994814</v>
      </c>
      <c r="G21" s="14">
        <f t="shared" si="2"/>
        <v>138600.99233899481</v>
      </c>
      <c r="H21" s="4">
        <f>'Q3 Base'!$E$15</f>
        <v>0.1</v>
      </c>
      <c r="I21" s="18">
        <f t="shared" si="12"/>
        <v>13759.805081455808</v>
      </c>
      <c r="J21" s="14">
        <f t="shared" si="13"/>
        <v>151357.85589601391</v>
      </c>
      <c r="N21" s="8">
        <v>17</v>
      </c>
      <c r="O21">
        <f t="shared" si="14"/>
        <v>78035.112170890192</v>
      </c>
      <c r="P21" s="4">
        <f>'Q3 Base'!$D$27</f>
        <v>1.01</v>
      </c>
      <c r="Q21" s="18">
        <f t="shared" si="3"/>
        <v>4797.5</v>
      </c>
      <c r="R21" s="18">
        <f t="shared" si="15"/>
        <v>82832.612170890192</v>
      </c>
      <c r="S21" s="18">
        <f t="shared" si="4"/>
        <v>83861.62817420988</v>
      </c>
      <c r="T21" s="18">
        <f t="shared" si="5"/>
        <v>84903.427475162433</v>
      </c>
      <c r="U21" s="18">
        <f t="shared" si="6"/>
        <v>849.03427475162437</v>
      </c>
      <c r="V21" s="18">
        <f t="shared" si="7"/>
        <v>84054.393200410806</v>
      </c>
      <c r="W21" s="4">
        <f>'Q3 Base'!$E$36</f>
        <v>0.2</v>
      </c>
      <c r="X21" s="18">
        <f t="shared" si="8"/>
        <v>100633.95380905185</v>
      </c>
      <c r="Y21" s="14">
        <f t="shared" si="9"/>
        <v>125000</v>
      </c>
    </row>
    <row r="22" spans="2:26" x14ac:dyDescent="0.25">
      <c r="B22" s="8">
        <v>18</v>
      </c>
      <c r="C22" s="14">
        <f t="shared" si="0"/>
        <v>125000</v>
      </c>
      <c r="D22">
        <f t="shared" si="1"/>
        <v>625</v>
      </c>
      <c r="E22" s="18">
        <f t="shared" si="10"/>
        <v>408.02977016984443</v>
      </c>
      <c r="F22" s="18">
        <f t="shared" si="11"/>
        <v>14634.022109164658</v>
      </c>
      <c r="G22" s="14">
        <f t="shared" si="2"/>
        <v>139634.02210916465</v>
      </c>
      <c r="H22" s="4">
        <f>'Q3 Base'!$E$15</f>
        <v>0.1</v>
      </c>
      <c r="I22" s="18">
        <f t="shared" si="12"/>
        <v>13860.099233899482</v>
      </c>
      <c r="J22" s="14">
        <f t="shared" si="13"/>
        <v>152461.09157289428</v>
      </c>
      <c r="N22" s="8">
        <v>18</v>
      </c>
      <c r="O22">
        <f t="shared" si="14"/>
        <v>84054.393200410806</v>
      </c>
      <c r="P22" s="4">
        <f>'Q3 Base'!$D$27</f>
        <v>1.01</v>
      </c>
      <c r="Q22" s="18">
        <f t="shared" si="3"/>
        <v>4797.5</v>
      </c>
      <c r="R22" s="18">
        <f t="shared" si="15"/>
        <v>88851.893200410806</v>
      </c>
      <c r="S22" s="18">
        <f t="shared" si="4"/>
        <v>89955.685748204021</v>
      </c>
      <c r="T22" s="18">
        <f t="shared" si="5"/>
        <v>91073.190530421067</v>
      </c>
      <c r="U22" s="18">
        <f t="shared" si="6"/>
        <v>910.73190530421073</v>
      </c>
      <c r="V22" s="18">
        <f t="shared" si="7"/>
        <v>90162.458625116851</v>
      </c>
      <c r="W22" s="4">
        <f>'Q3 Base'!$E$36</f>
        <v>0.2</v>
      </c>
      <c r="X22" s="18">
        <f t="shared" si="8"/>
        <v>107946.82289784482</v>
      </c>
      <c r="Y22" s="14">
        <f t="shared" si="9"/>
        <v>125000</v>
      </c>
    </row>
    <row r="23" spans="2:26" x14ac:dyDescent="0.25">
      <c r="B23" s="8">
        <v>19</v>
      </c>
      <c r="C23" s="14">
        <f t="shared" si="0"/>
        <v>125000</v>
      </c>
      <c r="D23">
        <f t="shared" si="1"/>
        <v>625</v>
      </c>
      <c r="E23" s="18">
        <f t="shared" si="10"/>
        <v>439.02066327493975</v>
      </c>
      <c r="F23" s="18">
        <f t="shared" si="11"/>
        <v>15698.042772439598</v>
      </c>
      <c r="G23" s="14">
        <f t="shared" si="2"/>
        <v>140698.0427724396</v>
      </c>
      <c r="H23" s="4">
        <f>'Q3 Base'!$E$15</f>
        <v>0.1</v>
      </c>
      <c r="I23" s="18">
        <f t="shared" si="12"/>
        <v>13963.402210916465</v>
      </c>
      <c r="J23" s="14">
        <f t="shared" si="13"/>
        <v>153597.42432008113</v>
      </c>
      <c r="N23" s="8">
        <v>19</v>
      </c>
      <c r="O23">
        <f t="shared" si="14"/>
        <v>90162.458625116851</v>
      </c>
      <c r="P23" s="4">
        <f>'Q3 Base'!$D$27</f>
        <v>1.01</v>
      </c>
      <c r="Q23" s="18">
        <f t="shared" si="3"/>
        <v>4797.5</v>
      </c>
      <c r="R23" s="18">
        <f t="shared" si="15"/>
        <v>94959.958625116851</v>
      </c>
      <c r="S23" s="18">
        <f t="shared" si="4"/>
        <v>96139.630671414576</v>
      </c>
      <c r="T23" s="18">
        <f t="shared" si="5"/>
        <v>97333.957590744758</v>
      </c>
      <c r="U23" s="18">
        <f t="shared" si="6"/>
        <v>973.33957590744762</v>
      </c>
      <c r="V23" s="18">
        <f t="shared" si="7"/>
        <v>96360.61801483731</v>
      </c>
      <c r="W23" s="4">
        <f>'Q3 Base'!$E$36</f>
        <v>0.2</v>
      </c>
      <c r="X23" s="18">
        <f t="shared" si="8"/>
        <v>115367.55680569749</v>
      </c>
      <c r="Y23" s="14">
        <f t="shared" si="9"/>
        <v>125000</v>
      </c>
    </row>
    <row r="24" spans="2:26" x14ac:dyDescent="0.25">
      <c r="B24" s="8">
        <v>20</v>
      </c>
      <c r="C24" s="14">
        <f t="shared" si="0"/>
        <v>125000</v>
      </c>
      <c r="D24">
        <f t="shared" si="1"/>
        <v>625</v>
      </c>
      <c r="E24" s="18">
        <f t="shared" si="10"/>
        <v>470.94128317318791</v>
      </c>
      <c r="F24" s="18">
        <f t="shared" si="11"/>
        <v>16793.984055612786</v>
      </c>
      <c r="G24" s="14">
        <f t="shared" si="2"/>
        <v>141793.98405561279</v>
      </c>
      <c r="H24" s="4">
        <f>'Q3 Base'!$E$15</f>
        <v>0.1</v>
      </c>
      <c r="I24" s="18">
        <f t="shared" si="12"/>
        <v>14069.80427724396</v>
      </c>
      <c r="J24" s="14">
        <f t="shared" si="13"/>
        <v>154767.84704968357</v>
      </c>
      <c r="N24" s="8">
        <v>20</v>
      </c>
      <c r="O24">
        <f t="shared" si="14"/>
        <v>96360.61801483731</v>
      </c>
      <c r="P24" s="4">
        <f>'Q3 Base'!$D$27</f>
        <v>1.01</v>
      </c>
      <c r="Q24" s="18">
        <f t="shared" si="3"/>
        <v>4797.5</v>
      </c>
      <c r="R24" s="18">
        <f t="shared" si="15"/>
        <v>101158.11801483731</v>
      </c>
      <c r="S24" s="18">
        <f t="shared" si="4"/>
        <v>102414.7887822425</v>
      </c>
      <c r="T24" s="18">
        <f t="shared" si="5"/>
        <v>103687.07096520823</v>
      </c>
      <c r="U24" s="18">
        <f t="shared" si="6"/>
        <v>1036.8707096520823</v>
      </c>
      <c r="V24" s="18">
        <f t="shared" si="7"/>
        <v>102650.20025555615</v>
      </c>
      <c r="W24" s="4">
        <f>'Q3 Base'!$E$36</f>
        <v>0.2</v>
      </c>
      <c r="X24" s="18">
        <f t="shared" si="8"/>
        <v>122897.74653869099</v>
      </c>
      <c r="Y24" s="14">
        <f t="shared" si="9"/>
        <v>125000</v>
      </c>
    </row>
    <row r="25" spans="2:26" x14ac:dyDescent="0.25">
      <c r="B25" s="8">
        <v>21</v>
      </c>
      <c r="C25" s="14">
        <f t="shared" si="0"/>
        <v>125000</v>
      </c>
      <c r="D25">
        <f t="shared" si="1"/>
        <v>625</v>
      </c>
      <c r="E25" s="18">
        <f t="shared" si="10"/>
        <v>503.81952166838357</v>
      </c>
      <c r="F25" s="18">
        <f t="shared" si="11"/>
        <v>17922.803577281171</v>
      </c>
      <c r="G25" s="14">
        <f t="shared" si="2"/>
        <v>142922.80357728119</v>
      </c>
      <c r="H25" s="4">
        <f>'Q3 Base'!$E$16</f>
        <v>0.2</v>
      </c>
      <c r="I25" s="18">
        <f t="shared" si="12"/>
        <v>28358.79681112256</v>
      </c>
      <c r="J25" s="14">
        <f t="shared" si="13"/>
        <v>170152.78086673535</v>
      </c>
      <c r="N25" s="8">
        <v>21</v>
      </c>
      <c r="O25">
        <f t="shared" si="14"/>
        <v>102650.20025555615</v>
      </c>
      <c r="P25" s="4">
        <f>'Q3 Base'!$D$27</f>
        <v>1.01</v>
      </c>
      <c r="Q25" s="18">
        <f t="shared" si="3"/>
        <v>4797.5</v>
      </c>
      <c r="R25" s="18">
        <f t="shared" si="15"/>
        <v>107447.70025555615</v>
      </c>
      <c r="S25" s="18">
        <f t="shared" si="4"/>
        <v>108782.50547520512</v>
      </c>
      <c r="T25" s="18">
        <f t="shared" si="5"/>
        <v>110133.89276194504</v>
      </c>
      <c r="U25" s="18">
        <f t="shared" si="6"/>
        <v>1101.3389276194505</v>
      </c>
      <c r="V25" s="18">
        <f t="shared" si="7"/>
        <v>109032.55383432559</v>
      </c>
      <c r="W25" s="4">
        <f>'Q3 Base'!$E$37</f>
        <v>0.3</v>
      </c>
      <c r="X25" s="18">
        <f t="shared" si="8"/>
        <v>141417.25711776665</v>
      </c>
      <c r="Y25" s="14">
        <f t="shared" si="9"/>
        <v>141417.25711776665</v>
      </c>
    </row>
    <row r="26" spans="2:26" x14ac:dyDescent="0.25">
      <c r="B26" s="8">
        <v>22</v>
      </c>
      <c r="C26" s="14">
        <f t="shared" si="0"/>
        <v>125000</v>
      </c>
      <c r="D26">
        <f t="shared" si="1"/>
        <v>625</v>
      </c>
      <c r="E26" s="18">
        <f t="shared" si="10"/>
        <v>537.68410731843505</v>
      </c>
      <c r="F26" s="18">
        <f t="shared" si="11"/>
        <v>19085.487684599604</v>
      </c>
      <c r="G26" s="14">
        <f t="shared" si="2"/>
        <v>144085.48768459959</v>
      </c>
      <c r="H26" s="4">
        <f>'Q3 Base'!$E$16</f>
        <v>0.2</v>
      </c>
      <c r="I26" s="18">
        <f t="shared" si="12"/>
        <v>28584.560715456239</v>
      </c>
      <c r="J26" s="14">
        <f t="shared" si="13"/>
        <v>171507.36429273742</v>
      </c>
      <c r="N26" s="8">
        <v>22</v>
      </c>
      <c r="O26">
        <f t="shared" si="14"/>
        <v>109032.55383432559</v>
      </c>
      <c r="P26" s="4">
        <f>'Q3 Base'!$D$27</f>
        <v>1.01</v>
      </c>
      <c r="Q26" s="18">
        <f t="shared" si="3"/>
        <v>4797.5</v>
      </c>
      <c r="R26" s="18">
        <f t="shared" si="15"/>
        <v>113830.05383432559</v>
      </c>
      <c r="S26" s="18">
        <f t="shared" si="4"/>
        <v>115244.14598938896</v>
      </c>
      <c r="T26" s="18">
        <f t="shared" si="5"/>
        <v>116675.80518018371</v>
      </c>
      <c r="U26" s="18">
        <f t="shared" si="6"/>
        <v>1166.7580518018372</v>
      </c>
      <c r="V26" s="18">
        <f t="shared" si="7"/>
        <v>115509.04712838188</v>
      </c>
      <c r="W26" s="4">
        <f>'Q3 Base'!$E$37</f>
        <v>0.3</v>
      </c>
      <c r="X26" s="18">
        <f t="shared" si="8"/>
        <v>149817.38978620563</v>
      </c>
      <c r="Y26" s="14">
        <f t="shared" si="9"/>
        <v>149817.38978620563</v>
      </c>
    </row>
    <row r="27" spans="2:26" x14ac:dyDescent="0.25">
      <c r="B27" s="8">
        <v>23</v>
      </c>
      <c r="C27" s="14">
        <f t="shared" si="0"/>
        <v>125000</v>
      </c>
      <c r="D27">
        <f t="shared" si="1"/>
        <v>625</v>
      </c>
      <c r="E27" s="18">
        <f t="shared" si="10"/>
        <v>572.56463053798814</v>
      </c>
      <c r="F27" s="18">
        <f t="shared" si="11"/>
        <v>20283.052315137593</v>
      </c>
      <c r="G27" s="14">
        <f t="shared" si="2"/>
        <v>145283.05231513758</v>
      </c>
      <c r="H27" s="4">
        <f>'Q3 Base'!$E$16</f>
        <v>0.2</v>
      </c>
      <c r="I27" s="18">
        <f t="shared" si="12"/>
        <v>28817.097536919919</v>
      </c>
      <c r="J27" s="14">
        <f t="shared" si="13"/>
        <v>172902.58522151952</v>
      </c>
      <c r="N27" s="8">
        <v>23</v>
      </c>
      <c r="O27">
        <f t="shared" si="14"/>
        <v>115509.04712838188</v>
      </c>
      <c r="P27" s="4">
        <f>'Q3 Base'!$D$27</f>
        <v>1.01</v>
      </c>
      <c r="Q27" s="18">
        <f t="shared" si="3"/>
        <v>4797.5</v>
      </c>
      <c r="R27" s="18">
        <f t="shared" si="15"/>
        <v>120306.54712838188</v>
      </c>
      <c r="S27" s="18">
        <f t="shared" si="4"/>
        <v>121801.095701157</v>
      </c>
      <c r="T27" s="18">
        <f t="shared" si="5"/>
        <v>123314.21080659141</v>
      </c>
      <c r="U27" s="18">
        <f t="shared" si="6"/>
        <v>1233.142108065914</v>
      </c>
      <c r="V27" s="18">
        <f t="shared" si="7"/>
        <v>122081.06869852549</v>
      </c>
      <c r="W27" s="4">
        <f>'Q3 Base'!$E$37</f>
        <v>0.3</v>
      </c>
      <c r="X27" s="18">
        <f t="shared" si="8"/>
        <v>158341.42441150409</v>
      </c>
      <c r="Y27" s="14">
        <f t="shared" si="9"/>
        <v>158341.42441150409</v>
      </c>
    </row>
    <row r="28" spans="2:26" x14ac:dyDescent="0.25">
      <c r="B28" s="8">
        <v>24</v>
      </c>
      <c r="C28" s="14">
        <f t="shared" si="0"/>
        <v>125000</v>
      </c>
      <c r="D28">
        <f t="shared" si="1"/>
        <v>625</v>
      </c>
      <c r="E28" s="18">
        <f t="shared" si="10"/>
        <v>608.49156945412778</v>
      </c>
      <c r="F28" s="18">
        <f t="shared" si="11"/>
        <v>21516.54388459172</v>
      </c>
      <c r="G28" s="14">
        <f t="shared" si="2"/>
        <v>146516.54388459172</v>
      </c>
      <c r="H28" s="4">
        <f>'Q3 Base'!$E$16</f>
        <v>0.2</v>
      </c>
      <c r="I28" s="18">
        <f t="shared" si="12"/>
        <v>29056.610463027519</v>
      </c>
      <c r="J28" s="14">
        <f t="shared" si="13"/>
        <v>174339.6627781651</v>
      </c>
      <c r="N28" s="8">
        <v>24</v>
      </c>
      <c r="O28">
        <f t="shared" si="14"/>
        <v>122081.06869852549</v>
      </c>
      <c r="P28" s="4">
        <f>'Q3 Base'!$D$27</f>
        <v>1.01</v>
      </c>
      <c r="Q28" s="18">
        <f t="shared" si="3"/>
        <v>4797.5</v>
      </c>
      <c r="R28" s="18">
        <f t="shared" si="15"/>
        <v>126878.56869852549</v>
      </c>
      <c r="S28" s="18">
        <f t="shared" si="4"/>
        <v>128454.7604211736</v>
      </c>
      <c r="T28" s="18">
        <f t="shared" si="5"/>
        <v>130050.53291598862</v>
      </c>
      <c r="U28" s="18">
        <f t="shared" si="6"/>
        <v>1300.5053291598863</v>
      </c>
      <c r="V28" s="18">
        <f t="shared" si="7"/>
        <v>128750.02758682873</v>
      </c>
      <c r="W28" s="4">
        <f>'Q3 Base'!$E$37</f>
        <v>0.3</v>
      </c>
      <c r="X28" s="18">
        <f t="shared" si="8"/>
        <v>166991.1885475257</v>
      </c>
      <c r="Y28" s="14">
        <f t="shared" si="9"/>
        <v>166991.1885475257</v>
      </c>
    </row>
    <row r="29" spans="2:26" x14ac:dyDescent="0.25">
      <c r="B29" s="8">
        <v>25</v>
      </c>
      <c r="C29" s="14">
        <f t="shared" si="0"/>
        <v>125000</v>
      </c>
      <c r="D29">
        <f t="shared" si="1"/>
        <v>625</v>
      </c>
      <c r="E29" s="18">
        <f t="shared" si="10"/>
        <v>645.49631653775157</v>
      </c>
      <c r="F29" s="18">
        <f t="shared" si="11"/>
        <v>22787.040201129472</v>
      </c>
      <c r="G29" s="14">
        <f t="shared" si="2"/>
        <v>147787.04020112948</v>
      </c>
      <c r="H29" s="4">
        <f>'Q3 Base'!$E$16</f>
        <v>0.2</v>
      </c>
      <c r="I29" s="18">
        <f t="shared" si="12"/>
        <v>29303.308776918348</v>
      </c>
      <c r="J29" s="14">
        <f t="shared" si="13"/>
        <v>175819.85266151006</v>
      </c>
      <c r="K29" s="14">
        <f>G29*(1+H29)</f>
        <v>177344.44824135536</v>
      </c>
      <c r="N29" s="8">
        <v>25</v>
      </c>
      <c r="O29">
        <f t="shared" si="14"/>
        <v>128750.02758682873</v>
      </c>
      <c r="P29" s="4">
        <f>'Q3 Base'!$D$27</f>
        <v>1.01</v>
      </c>
      <c r="Q29" s="18">
        <f t="shared" si="3"/>
        <v>4797.5</v>
      </c>
      <c r="R29" s="18"/>
      <c r="S29" s="18">
        <f t="shared" si="4"/>
        <v>135206.56669581047</v>
      </c>
      <c r="T29" s="18">
        <f t="shared" si="5"/>
        <v>136886.21577649945</v>
      </c>
      <c r="U29" s="18">
        <f t="shared" si="6"/>
        <v>1368.8621577649944</v>
      </c>
      <c r="V29" s="18">
        <f t="shared" si="7"/>
        <v>135517.35361873446</v>
      </c>
      <c r="W29" s="4">
        <f>'Q3 Base'!$E$37</f>
        <v>0.3</v>
      </c>
      <c r="X29" s="18">
        <f t="shared" si="8"/>
        <v>175768.53670455361</v>
      </c>
      <c r="Y29" s="14">
        <f t="shared" si="9"/>
        <v>175768.53670455361</v>
      </c>
      <c r="Z29" s="19">
        <f>V29*(1+W29)</f>
        <v>176172.55970435479</v>
      </c>
    </row>
    <row r="30" spans="2:26" x14ac:dyDescent="0.25">
      <c r="B30" s="8"/>
      <c r="C30" s="14"/>
      <c r="E30" s="18"/>
      <c r="F30" s="18"/>
      <c r="G30" s="14"/>
      <c r="H30" s="4"/>
      <c r="I30" s="18"/>
      <c r="K30" s="14"/>
    </row>
  </sheetData>
  <printOptions gridLines="1" gridLinesSet="0"/>
  <pageMargins left="0.7" right="0.7" top="0.75" bottom="0.75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8"/>
  <sheetViews>
    <sheetView workbookViewId="0">
      <selection activeCell="C11" sqref="C11"/>
    </sheetView>
  </sheetViews>
  <sheetFormatPr defaultRowHeight="15" x14ac:dyDescent="0.25"/>
  <cols>
    <col min="2" max="2" width="12.85546875" bestFit="1" customWidth="1"/>
    <col min="5" max="5" width="12.85546875" bestFit="1" customWidth="1"/>
  </cols>
  <sheetData>
    <row r="1" spans="1:6" x14ac:dyDescent="0.25">
      <c r="A1" t="s">
        <v>113</v>
      </c>
      <c r="E1" t="s">
        <v>45</v>
      </c>
    </row>
    <row r="2" spans="1:6" ht="30.75" customHeight="1" x14ac:dyDescent="0.25">
      <c r="B2" s="75" t="s">
        <v>102</v>
      </c>
      <c r="C2" s="75"/>
      <c r="E2" s="74" t="s">
        <v>103</v>
      </c>
      <c r="F2" s="74"/>
    </row>
    <row r="3" spans="1:6" x14ac:dyDescent="0.25">
      <c r="A3" s="7" t="s">
        <v>82</v>
      </c>
      <c r="B3" s="1" t="s">
        <v>114</v>
      </c>
      <c r="C3" s="1" t="s">
        <v>115</v>
      </c>
      <c r="E3" s="1" t="s">
        <v>114</v>
      </c>
      <c r="F3" s="1" t="s">
        <v>115</v>
      </c>
    </row>
    <row r="4" spans="1:6" x14ac:dyDescent="0.25">
      <c r="A4" s="8">
        <v>1</v>
      </c>
      <c r="B4" s="14">
        <f>'Q3 (i) and (ii)'!J5</f>
        <v>125000</v>
      </c>
      <c r="C4" s="14">
        <f>'Q3 (i) and (ii)'!Y5</f>
        <v>125000</v>
      </c>
      <c r="E4" s="14">
        <f>'Q3 (i) and (ii)'!K29</f>
        <v>177344.44824135536</v>
      </c>
      <c r="F4" s="14">
        <f>'Q3 (i) and (ii)'!Z29</f>
        <v>176172.55970435479</v>
      </c>
    </row>
    <row r="5" spans="1:6" x14ac:dyDescent="0.25">
      <c r="A5" s="8">
        <v>2</v>
      </c>
      <c r="B5" s="14">
        <f>'Q3 (i) and (ii)'!J6</f>
        <v>125625</v>
      </c>
      <c r="C5" s="14">
        <f>'Q3 (i) and (ii)'!Y6</f>
        <v>125000</v>
      </c>
    </row>
    <row r="6" spans="1:6" x14ac:dyDescent="0.25">
      <c r="A6" s="8">
        <v>3</v>
      </c>
      <c r="B6" s="14">
        <f>'Q3 (i) and (ii)'!J7</f>
        <v>126268.75</v>
      </c>
      <c r="C6" s="14">
        <f>'Q3 (i) and (ii)'!Y7</f>
        <v>125000</v>
      </c>
    </row>
    <row r="7" spans="1:6" x14ac:dyDescent="0.25">
      <c r="A7" s="8">
        <v>4</v>
      </c>
      <c r="B7" s="14">
        <f>'Q3 (i) and (ii)'!J8</f>
        <v>126931.8125</v>
      </c>
      <c r="C7" s="14">
        <f>'Q3 (i) and (ii)'!Y8</f>
        <v>125000</v>
      </c>
    </row>
    <row r="8" spans="1:6" x14ac:dyDescent="0.25">
      <c r="A8" s="8">
        <v>5</v>
      </c>
      <c r="B8" s="14">
        <f>'Q3 (i) and (ii)'!J9</f>
        <v>127614.766875</v>
      </c>
      <c r="C8" s="14">
        <f>'Q3 (i) and (ii)'!Y9</f>
        <v>125000</v>
      </c>
    </row>
    <row r="9" spans="1:6" x14ac:dyDescent="0.25">
      <c r="A9" s="8">
        <v>6</v>
      </c>
      <c r="B9" s="14">
        <f>'Q3 (i) and (ii)'!J10</f>
        <v>128318.20988125</v>
      </c>
      <c r="C9" s="14">
        <f>'Q3 (i) and (ii)'!Y10</f>
        <v>125000</v>
      </c>
    </row>
    <row r="10" spans="1:6" x14ac:dyDescent="0.25">
      <c r="A10" s="8">
        <v>7</v>
      </c>
      <c r="B10" s="14">
        <f>'Q3 (i) and (ii)'!J11</f>
        <v>129042.75617768749</v>
      </c>
      <c r="C10" s="14">
        <f>'Q3 (i) and (ii)'!Y11</f>
        <v>125000</v>
      </c>
    </row>
    <row r="11" spans="1:6" x14ac:dyDescent="0.25">
      <c r="A11" s="8">
        <v>8</v>
      </c>
      <c r="B11" s="14">
        <f>'Q3 (i) and (ii)'!J12</f>
        <v>129789.03886301813</v>
      </c>
      <c r="C11" s="14">
        <f>'Q3 (i) and (ii)'!Y12</f>
        <v>125000</v>
      </c>
    </row>
    <row r="12" spans="1:6" x14ac:dyDescent="0.25">
      <c r="A12" s="8">
        <v>9</v>
      </c>
      <c r="B12" s="14">
        <f>'Q3 (i) and (ii)'!J13</f>
        <v>130557.71002890867</v>
      </c>
      <c r="C12" s="14">
        <f>'Q3 (i) and (ii)'!Y13</f>
        <v>125000</v>
      </c>
    </row>
    <row r="13" spans="1:6" x14ac:dyDescent="0.25">
      <c r="A13" s="8">
        <v>10</v>
      </c>
      <c r="B13" s="14">
        <f>'Q3 (i) and (ii)'!J14</f>
        <v>131349.44132977593</v>
      </c>
      <c r="C13" s="14">
        <f>'Q3 (i) and (ii)'!Y14</f>
        <v>125000</v>
      </c>
    </row>
    <row r="14" spans="1:6" x14ac:dyDescent="0.25">
      <c r="A14" s="8">
        <v>11</v>
      </c>
      <c r="B14" s="14">
        <f>'Q3 (i) and (ii)'!J15</f>
        <v>138773.17079815266</v>
      </c>
      <c r="C14" s="14">
        <f>'Q3 (i) and (ii)'!Y15</f>
        <v>125000</v>
      </c>
    </row>
    <row r="15" spans="1:6" x14ac:dyDescent="0.25">
      <c r="A15" s="8">
        <v>12</v>
      </c>
      <c r="B15" s="14">
        <f>'Q3 (i) and (ii)'!J16</f>
        <v>139655.11592209726</v>
      </c>
      <c r="C15" s="14">
        <f>'Q3 (i) and (ii)'!Y16</f>
        <v>125000</v>
      </c>
    </row>
    <row r="16" spans="1:6" x14ac:dyDescent="0.25">
      <c r="A16" s="8">
        <v>13</v>
      </c>
      <c r="B16" s="14">
        <f>'Q3 (i) and (ii)'!J17</f>
        <v>140563.51939976015</v>
      </c>
      <c r="C16" s="14">
        <f>'Q3 (i) and (ii)'!Y17</f>
        <v>125000</v>
      </c>
    </row>
    <row r="17" spans="1:3" x14ac:dyDescent="0.25">
      <c r="A17" s="8">
        <v>14</v>
      </c>
      <c r="B17" s="14">
        <f>'Q3 (i) and (ii)'!J18</f>
        <v>141499.17498175296</v>
      </c>
      <c r="C17" s="14">
        <f>'Q3 (i) and (ii)'!Y18</f>
        <v>125000</v>
      </c>
    </row>
    <row r="18" spans="1:3" x14ac:dyDescent="0.25">
      <c r="A18" s="8">
        <v>15</v>
      </c>
      <c r="B18" s="14">
        <f>'Q3 (i) and (ii)'!J19</f>
        <v>142462.90023120557</v>
      </c>
      <c r="C18" s="14">
        <f>'Q3 (i) and (ii)'!Y19</f>
        <v>125000</v>
      </c>
    </row>
    <row r="19" spans="1:3" x14ac:dyDescent="0.25">
      <c r="A19" s="8">
        <v>16</v>
      </c>
      <c r="B19" s="14">
        <f>'Q3 (i) and (ii)'!J20</f>
        <v>150286.75329710083</v>
      </c>
      <c r="C19" s="14">
        <f>'Q3 (i) and (ii)'!Y20</f>
        <v>125000</v>
      </c>
    </row>
    <row r="20" spans="1:3" x14ac:dyDescent="0.25">
      <c r="A20" s="8">
        <v>17</v>
      </c>
      <c r="B20" s="14">
        <f>'Q3 (i) and (ii)'!J21</f>
        <v>151357.85589601391</v>
      </c>
      <c r="C20" s="14">
        <f>'Q3 (i) and (ii)'!Y21</f>
        <v>125000</v>
      </c>
    </row>
    <row r="21" spans="1:3" x14ac:dyDescent="0.25">
      <c r="A21" s="8">
        <v>18</v>
      </c>
      <c r="B21" s="14">
        <f>'Q3 (i) and (ii)'!J22</f>
        <v>152461.09157289428</v>
      </c>
      <c r="C21" s="14">
        <f>'Q3 (i) and (ii)'!Y22</f>
        <v>125000</v>
      </c>
    </row>
    <row r="22" spans="1:3" x14ac:dyDescent="0.25">
      <c r="A22" s="8">
        <v>19</v>
      </c>
      <c r="B22" s="14">
        <f>'Q3 (i) and (ii)'!J23</f>
        <v>153597.42432008113</v>
      </c>
      <c r="C22" s="14">
        <f>'Q3 (i) and (ii)'!Y23</f>
        <v>125000</v>
      </c>
    </row>
    <row r="23" spans="1:3" x14ac:dyDescent="0.25">
      <c r="A23" s="8">
        <v>20</v>
      </c>
      <c r="B23" s="14">
        <f>'Q3 (i) and (ii)'!J24</f>
        <v>154767.84704968357</v>
      </c>
      <c r="C23" s="14">
        <f>'Q3 (i) and (ii)'!Y24</f>
        <v>125000</v>
      </c>
    </row>
    <row r="24" spans="1:3" x14ac:dyDescent="0.25">
      <c r="A24" s="8">
        <v>21</v>
      </c>
      <c r="B24" s="14">
        <f>'Q3 (i) and (ii)'!J25</f>
        <v>170152.78086673535</v>
      </c>
      <c r="C24" s="14">
        <f>'Q3 (i) and (ii)'!Y25</f>
        <v>141417.25711776665</v>
      </c>
    </row>
    <row r="25" spans="1:3" x14ac:dyDescent="0.25">
      <c r="A25" s="8">
        <v>22</v>
      </c>
      <c r="B25" s="14">
        <f>'Q3 (i) and (ii)'!J26</f>
        <v>171507.36429273742</v>
      </c>
      <c r="C25" s="14">
        <f>'Q3 (i) and (ii)'!Y26</f>
        <v>149817.38978620563</v>
      </c>
    </row>
    <row r="26" spans="1:3" x14ac:dyDescent="0.25">
      <c r="A26" s="8">
        <v>23</v>
      </c>
      <c r="B26" s="14">
        <f>'Q3 (i) and (ii)'!J27</f>
        <v>172902.58522151952</v>
      </c>
      <c r="C26" s="14">
        <f>'Q3 (i) and (ii)'!Y27</f>
        <v>158341.42441150409</v>
      </c>
    </row>
    <row r="27" spans="1:3" x14ac:dyDescent="0.25">
      <c r="A27" s="8">
        <v>24</v>
      </c>
      <c r="B27" s="14">
        <f>'Q3 (i) and (ii)'!J28</f>
        <v>174339.6627781651</v>
      </c>
      <c r="C27" s="14">
        <f>'Q3 (i) and (ii)'!Y28</f>
        <v>166991.1885475257</v>
      </c>
    </row>
    <row r="28" spans="1:3" x14ac:dyDescent="0.25">
      <c r="A28" s="8">
        <v>25</v>
      </c>
      <c r="B28" s="14">
        <f>'Q3 (i) and (ii)'!J29</f>
        <v>175819.85266151006</v>
      </c>
      <c r="C28" s="14">
        <f>'Q3 (i) and (ii)'!Y29</f>
        <v>175768.53670455361</v>
      </c>
    </row>
  </sheetData>
  <mergeCells count="2">
    <mergeCell ref="B2:C2"/>
    <mergeCell ref="E2:F2"/>
  </mergeCells>
  <printOptions gridLines="1" gridLinesSet="0"/>
  <pageMargins left="0.7" right="0.7" top="0.75" bottom="0.75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ab824-e670-41f2-a5ee-7d4504103506">
      <Terms xmlns="http://schemas.microsoft.com/office/infopath/2007/PartnerControls"/>
    </lcf76f155ced4ddcb4097134ff3c332f>
    <TaxCatchAll xmlns="e0a82e4c-fab7-409b-9177-d9582bcd9b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C0CE7-05D1-4051-B81F-3315AC2814B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28f0211-d73b-432f-a0fc-ae5ba3056484"/>
    <ds:schemaRef ds:uri="c8df6e4a-d667-443e-9e29-8365617924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1CE38EB-B6B3-4F9E-80D8-2BE12E0B71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11B12B-3DAF-4725-B28A-8CDA79C70F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Q1</vt:lpstr>
      <vt:lpstr>Q1 Alternative</vt:lpstr>
      <vt:lpstr>Q1 Answers</vt:lpstr>
      <vt:lpstr>Q2 Base</vt:lpstr>
      <vt:lpstr>Q2 all parts</vt:lpstr>
      <vt:lpstr>Q2 Answers</vt:lpstr>
      <vt:lpstr>Q3 Base</vt:lpstr>
      <vt:lpstr>Q3 (i) and (ii)</vt:lpstr>
      <vt:lpstr>Q3 Answers</vt:lpstr>
      <vt:lpstr>Q4 Base</vt:lpstr>
      <vt:lpstr>Q4 (i)</vt:lpstr>
      <vt:lpstr>Q4 (i) Alternative</vt:lpstr>
      <vt:lpstr>Q4 (ii)</vt:lpstr>
      <vt:lpstr>Q4 (ii) Alternative</vt:lpstr>
      <vt:lpstr>Q4(ii) Actual Future Experience</vt:lpstr>
      <vt:lpstr>Q4 (iii)</vt:lpstr>
      <vt:lpstr>Q4 (iii) Alternative</vt:lpstr>
      <vt:lpstr>Q4 (iv)</vt:lpstr>
      <vt:lpstr>Q4 Answers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Eloise Atherton</dc:creator>
  <cp:keywords/>
  <dc:description/>
  <cp:lastModifiedBy>Marie Savine</cp:lastModifiedBy>
  <cp:revision/>
  <dcterms:created xsi:type="dcterms:W3CDTF">2023-09-14T14:36:29Z</dcterms:created>
  <dcterms:modified xsi:type="dcterms:W3CDTF">2023-12-06T15:12:08Z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  <property fmtid="{D5CDD505-2E9C-101B-9397-08002B2CF9AE}" pid="3" name="MediaServiceImageTags">
    <vt:lpwstr/>
  </property>
</Properties>
</file>