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Utente\Documents\CM1\2022-09\B\"/>
    </mc:Choice>
  </mc:AlternateContent>
  <xr:revisionPtr revIDLastSave="0" documentId="13_ncr:1_{CF057102-3F82-47D5-977F-961924DB0FB9}" xr6:coauthVersionLast="47" xr6:coauthVersionMax="47" xr10:uidLastSave="{00000000-0000-0000-0000-000000000000}"/>
  <bookViews>
    <workbookView xWindow="20370" yWindow="-120" windowWidth="21840" windowHeight="13140" xr2:uid="{00000000-000D-0000-FFFF-FFFF00000000}"/>
  </bookViews>
  <sheets>
    <sheet name="Q1 Base" sheetId="1" r:id="rId1"/>
    <sheet name="Q1 (i) and (ii)" sheetId="2" r:id="rId2"/>
    <sheet name="Q1 (iii)" sheetId="5" r:id="rId3"/>
    <sheet name="Q1 (iii) Alternative" sheetId="3" r:id="rId4"/>
    <sheet name="Q1 Answers" sheetId="6" r:id="rId5"/>
    <sheet name="Q2 Base" sheetId="7" r:id="rId6"/>
    <sheet name="Q2 (i) and (ii)" sheetId="8" r:id="rId7"/>
    <sheet name="Q2 (iii) (a)" sheetId="9" r:id="rId8"/>
    <sheet name="Q2 (iii) (a) Solver" sheetId="19" r:id="rId9"/>
    <sheet name="Q2 (iii)(b)" sheetId="10" r:id="rId10"/>
    <sheet name="Q2 (iv)" sheetId="11" r:id="rId11"/>
    <sheet name="Q2 Answers" sheetId="12" r:id="rId12"/>
    <sheet name="Q3 ProjectA Data" sheetId="13" r:id="rId13"/>
    <sheet name="Q3 ProjectB Data" sheetId="14" r:id="rId14"/>
    <sheet name="Q3 (i)" sheetId="15" r:id="rId15"/>
    <sheet name="Q3 (ii)" sheetId="16" r:id="rId16"/>
    <sheet name="Q3 (iii)" sheetId="17" r:id="rId17"/>
    <sheet name="Q3 Answers" sheetId="18" r:id="rId18"/>
  </sheets>
  <definedNames>
    <definedName name="solver_adj" localSheetId="2">'Q1 (iii)'!$H$4</definedName>
    <definedName name="solver_adj" localSheetId="6">'Q2 (i) and (ii)'!$K$4</definedName>
    <definedName name="solver_adj" localSheetId="8" hidden="1">'Q2 (iii) (a) Solver'!$J$4:$K$4</definedName>
    <definedName name="solver_cvg" localSheetId="2">0.0001</definedName>
    <definedName name="solver_cvg" localSheetId="6">0.0001</definedName>
    <definedName name="solver_cvg" localSheetId="7">0.0001</definedName>
    <definedName name="solver_cvg" localSheetId="8" hidden="1">0.0001</definedName>
    <definedName name="solver_drv" localSheetId="2">1</definedName>
    <definedName name="solver_drv" localSheetId="6">1</definedName>
    <definedName name="solver_drv" localSheetId="7">1</definedName>
    <definedName name="solver_drv" localSheetId="8" hidden="1">1</definedName>
    <definedName name="solver_eng" localSheetId="2">1</definedName>
    <definedName name="solver_eng" localSheetId="7" hidden="1">1</definedName>
    <definedName name="solver_eng" localSheetId="8" hidden="1">1</definedName>
    <definedName name="solver_est" localSheetId="2">1</definedName>
    <definedName name="solver_est" localSheetId="6">1</definedName>
    <definedName name="solver_est" localSheetId="7">1</definedName>
    <definedName name="solver_est" localSheetId="8" hidden="1">1</definedName>
    <definedName name="solver_itr" localSheetId="2">2147483647</definedName>
    <definedName name="solver_itr" localSheetId="6">100</definedName>
    <definedName name="solver_itr" localSheetId="7">100</definedName>
    <definedName name="solver_itr" localSheetId="8" hidden="1">100</definedName>
    <definedName name="solver_lhs1" localSheetId="8" hidden="1">'Q2 (iii) (a) Solver'!$F$71</definedName>
    <definedName name="solver_lin" localSheetId="6">2</definedName>
    <definedName name="solver_lin" localSheetId="7">2</definedName>
    <definedName name="solver_lin" localSheetId="8">2</definedName>
    <definedName name="solver_mip" localSheetId="2">2147483647</definedName>
    <definedName name="solver_mip" localSheetId="8" hidden="1">2147483647</definedName>
    <definedName name="solver_mni" localSheetId="2">30</definedName>
    <definedName name="solver_mni" localSheetId="8" hidden="1">30</definedName>
    <definedName name="solver_mrt" localSheetId="2">0.075</definedName>
    <definedName name="solver_mrt" localSheetId="8" hidden="1">0.075</definedName>
    <definedName name="solver_msl" localSheetId="2">2</definedName>
    <definedName name="solver_msl" localSheetId="8" hidden="1">2</definedName>
    <definedName name="solver_neg" localSheetId="2">1</definedName>
    <definedName name="solver_neg" localSheetId="6">2</definedName>
    <definedName name="solver_neg" localSheetId="7" hidden="1">2</definedName>
    <definedName name="solver_neg" localSheetId="8" hidden="1">2</definedName>
    <definedName name="solver_nod" localSheetId="2">2147483647</definedName>
    <definedName name="solver_nod" localSheetId="8" hidden="1">2147483647</definedName>
    <definedName name="solver_num" localSheetId="2">0</definedName>
    <definedName name="solver_num" localSheetId="6">0</definedName>
    <definedName name="solver_num" localSheetId="7" hidden="1">0</definedName>
    <definedName name="solver_num" localSheetId="8" hidden="1">1</definedName>
    <definedName name="solver_nwt" localSheetId="2">1</definedName>
    <definedName name="solver_nwt" localSheetId="6">1</definedName>
    <definedName name="solver_nwt" localSheetId="7">1</definedName>
    <definedName name="solver_nwt" localSheetId="8" hidden="1">1</definedName>
    <definedName name="solver_opt" localSheetId="2">'Q1 (iii)'!$S$25</definedName>
    <definedName name="solver_opt" localSheetId="6">'Q2 (i) and (ii)'!$G$66</definedName>
    <definedName name="solver_opt" localSheetId="7" hidden="1">'Q2 (iii) (a)'!$C$7</definedName>
    <definedName name="solver_opt" localSheetId="8" hidden="1">'Q2 (iii) (a) Solver'!$F$72</definedName>
    <definedName name="solver_pre" localSheetId="2">0.000001</definedName>
    <definedName name="solver_pre" localSheetId="6">0.000001</definedName>
    <definedName name="solver_pre" localSheetId="7">0.000001</definedName>
    <definedName name="solver_pre" localSheetId="8" hidden="1">0.000001</definedName>
    <definedName name="solver_rbv" localSheetId="2">1</definedName>
    <definedName name="solver_rbv" localSheetId="8" hidden="1">1</definedName>
    <definedName name="solver_rel1" localSheetId="8" hidden="1">2</definedName>
    <definedName name="solver_rhs1" localSheetId="8" hidden="1">0</definedName>
    <definedName name="solver_rlx" localSheetId="2">2</definedName>
    <definedName name="solver_rlx" localSheetId="8" hidden="1">1</definedName>
    <definedName name="solver_rsd" localSheetId="2">0</definedName>
    <definedName name="solver_rsd" localSheetId="8" hidden="1">0</definedName>
    <definedName name="solver_scl" localSheetId="2">1</definedName>
    <definedName name="solver_scl" localSheetId="6">2</definedName>
    <definedName name="solver_scl" localSheetId="7">2</definedName>
    <definedName name="solver_scl" localSheetId="8" hidden="1">2</definedName>
    <definedName name="solver_sho" localSheetId="2">2</definedName>
    <definedName name="solver_sho" localSheetId="6">2</definedName>
    <definedName name="solver_sho" localSheetId="7">2</definedName>
    <definedName name="solver_sho" localSheetId="8" hidden="1">2</definedName>
    <definedName name="solver_ssz" localSheetId="2">100</definedName>
    <definedName name="solver_ssz" localSheetId="8" hidden="1">100</definedName>
    <definedName name="solver_tim" localSheetId="2">2147483647</definedName>
    <definedName name="solver_tim" localSheetId="6">100</definedName>
    <definedName name="solver_tim" localSheetId="7">100</definedName>
    <definedName name="solver_tim" localSheetId="8" hidden="1">100</definedName>
    <definedName name="solver_tol" localSheetId="2">0.01</definedName>
    <definedName name="solver_tol" localSheetId="6">0.05</definedName>
    <definedName name="solver_tol" localSheetId="7">0.05</definedName>
    <definedName name="solver_tol" localSheetId="8" hidden="1">0.05</definedName>
    <definedName name="solver_typ" localSheetId="2">3</definedName>
    <definedName name="solver_typ" localSheetId="6">3</definedName>
    <definedName name="solver_typ" localSheetId="7" hidden="1">1</definedName>
    <definedName name="solver_typ" localSheetId="8" hidden="1">3</definedName>
    <definedName name="solver_val" localSheetId="2">0</definedName>
    <definedName name="solver_val" localSheetId="6">0</definedName>
    <definedName name="solver_val" localSheetId="7" hidden="1">0</definedName>
    <definedName name="solver_val" localSheetId="8" hidden="1">0</definedName>
    <definedName name="solver_ver" localSheetId="2">3</definedName>
    <definedName name="solver_ver" localSheetId="7" hidden="1">3</definedName>
    <definedName name="solver_ver" localSheetId="8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8" l="1"/>
  <c r="V6" i="15"/>
  <c r="V7" i="15"/>
  <c r="V8" i="15"/>
  <c r="V9" i="15"/>
  <c r="V10" i="15"/>
  <c r="V11" i="15"/>
  <c r="V12" i="15"/>
  <c r="V13" i="15"/>
  <c r="V14" i="15"/>
  <c r="V15" i="15"/>
  <c r="V16" i="15"/>
  <c r="V17" i="15"/>
  <c r="V18" i="15"/>
  <c r="V19" i="15"/>
  <c r="V5" i="15"/>
  <c r="V21" i="15" s="1"/>
  <c r="T5" i="15"/>
  <c r="U5" i="15"/>
  <c r="T6" i="15"/>
  <c r="U6" i="15"/>
  <c r="T7" i="15"/>
  <c r="U7" i="15"/>
  <c r="T8" i="15"/>
  <c r="U8" i="15"/>
  <c r="T9" i="15"/>
  <c r="U9" i="15"/>
  <c r="T10" i="15"/>
  <c r="U10" i="15"/>
  <c r="T11" i="15"/>
  <c r="U11" i="15"/>
  <c r="T12" i="15"/>
  <c r="U12" i="15"/>
  <c r="T13" i="15"/>
  <c r="U13" i="15"/>
  <c r="T14" i="15"/>
  <c r="U14" i="15"/>
  <c r="T15" i="15"/>
  <c r="U15" i="15"/>
  <c r="T16" i="15"/>
  <c r="U16" i="15"/>
  <c r="T17" i="15"/>
  <c r="U17" i="15"/>
  <c r="T18" i="15"/>
  <c r="U18" i="15"/>
  <c r="T19" i="15"/>
  <c r="U19" i="15"/>
  <c r="S6" i="15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5" i="15"/>
  <c r="E7" i="3"/>
  <c r="G48" i="8" l="1"/>
  <c r="F10" i="8"/>
  <c r="P2" i="2" l="1"/>
  <c r="N6" i="5" l="1"/>
  <c r="B4" i="6" l="1"/>
  <c r="D23" i="3"/>
  <c r="C23" i="3"/>
  <c r="B23" i="3"/>
  <c r="D22" i="3"/>
  <c r="C22" i="3"/>
  <c r="E22" i="3" s="1"/>
  <c r="B22" i="3"/>
  <c r="D21" i="3"/>
  <c r="C21" i="3"/>
  <c r="E21" i="3" s="1"/>
  <c r="B21" i="3"/>
  <c r="D20" i="3"/>
  <c r="C20" i="3"/>
  <c r="B20" i="3"/>
  <c r="D19" i="3"/>
  <c r="F19" i="3" s="1"/>
  <c r="C19" i="3"/>
  <c r="B19" i="3"/>
  <c r="D18" i="3"/>
  <c r="C18" i="3"/>
  <c r="B18" i="3"/>
  <c r="D17" i="3"/>
  <c r="C17" i="3"/>
  <c r="B17" i="3"/>
  <c r="R17" i="3" s="1"/>
  <c r="D16" i="3"/>
  <c r="C16" i="3"/>
  <c r="B16" i="3"/>
  <c r="R16" i="3" s="1"/>
  <c r="D15" i="3"/>
  <c r="C15" i="3"/>
  <c r="B15" i="3"/>
  <c r="D14" i="3"/>
  <c r="C14" i="3"/>
  <c r="E14" i="3" s="1"/>
  <c r="B14" i="3"/>
  <c r="D13" i="3"/>
  <c r="C13" i="3"/>
  <c r="E13" i="3" s="1"/>
  <c r="B13" i="3"/>
  <c r="D12" i="3"/>
  <c r="C12" i="3"/>
  <c r="B12" i="3"/>
  <c r="D11" i="3"/>
  <c r="F11" i="3" s="1"/>
  <c r="C11" i="3"/>
  <c r="B11" i="3"/>
  <c r="D10" i="3"/>
  <c r="F10" i="3" s="1"/>
  <c r="C10" i="3"/>
  <c r="B10" i="3"/>
  <c r="D9" i="3"/>
  <c r="C9" i="3"/>
  <c r="B9" i="3"/>
  <c r="D8" i="3"/>
  <c r="C8" i="3"/>
  <c r="B8" i="3"/>
  <c r="R8" i="3" s="1"/>
  <c r="D7" i="3"/>
  <c r="C7" i="3"/>
  <c r="B7" i="3"/>
  <c r="D6" i="3"/>
  <c r="C6" i="3"/>
  <c r="B6" i="3"/>
  <c r="D5" i="3"/>
  <c r="C5" i="3"/>
  <c r="E5" i="3" s="1"/>
  <c r="B5" i="3"/>
  <c r="D4" i="3"/>
  <c r="C4" i="3"/>
  <c r="B4" i="3"/>
  <c r="E23" i="3" s="1"/>
  <c r="R9" i="3"/>
  <c r="N23" i="3"/>
  <c r="L23" i="3"/>
  <c r="F23" i="3"/>
  <c r="N22" i="3"/>
  <c r="L22" i="3"/>
  <c r="F22" i="3"/>
  <c r="R22" i="3"/>
  <c r="N21" i="3"/>
  <c r="L21" i="3"/>
  <c r="R21" i="3"/>
  <c r="R20" i="3"/>
  <c r="N20" i="3"/>
  <c r="L20" i="3"/>
  <c r="F20" i="3"/>
  <c r="E20" i="3"/>
  <c r="N19" i="3"/>
  <c r="L19" i="3"/>
  <c r="E19" i="3"/>
  <c r="R19" i="3"/>
  <c r="N18" i="3"/>
  <c r="L18" i="3"/>
  <c r="F18" i="3"/>
  <c r="E18" i="3"/>
  <c r="R18" i="3"/>
  <c r="N17" i="3"/>
  <c r="L17" i="3"/>
  <c r="E17" i="3"/>
  <c r="N16" i="3"/>
  <c r="L16" i="3"/>
  <c r="F16" i="3"/>
  <c r="N15" i="3"/>
  <c r="L15" i="3"/>
  <c r="F15" i="3"/>
  <c r="E15" i="3"/>
  <c r="R15" i="3"/>
  <c r="N14" i="3"/>
  <c r="L14" i="3"/>
  <c r="F14" i="3"/>
  <c r="R14" i="3"/>
  <c r="N13" i="3"/>
  <c r="L13" i="3"/>
  <c r="R13" i="3"/>
  <c r="R12" i="3"/>
  <c r="N12" i="3"/>
  <c r="L12" i="3"/>
  <c r="F12" i="3"/>
  <c r="N11" i="3"/>
  <c r="L11" i="3"/>
  <c r="E11" i="3"/>
  <c r="R11" i="3"/>
  <c r="N10" i="3"/>
  <c r="L10" i="3"/>
  <c r="E10" i="3"/>
  <c r="R10" i="3"/>
  <c r="N9" i="3"/>
  <c r="L9" i="3"/>
  <c r="F9" i="3"/>
  <c r="E9" i="3"/>
  <c r="N8" i="3"/>
  <c r="L8" i="3"/>
  <c r="F8" i="3"/>
  <c r="N7" i="3"/>
  <c r="L7" i="3"/>
  <c r="F7" i="3"/>
  <c r="N6" i="3"/>
  <c r="L6" i="3"/>
  <c r="E6" i="3"/>
  <c r="F6" i="3"/>
  <c r="R6" i="3"/>
  <c r="N5" i="3"/>
  <c r="L5" i="3"/>
  <c r="F5" i="3"/>
  <c r="R5" i="3"/>
  <c r="A5" i="3"/>
  <c r="A6" i="3" s="1"/>
  <c r="R4" i="3"/>
  <c r="T4" i="3" s="1"/>
  <c r="Q4" i="3"/>
  <c r="P4" i="3"/>
  <c r="N4" i="3"/>
  <c r="K4" i="3"/>
  <c r="H4" i="3"/>
  <c r="S4" i="3" s="1"/>
  <c r="G4" i="3"/>
  <c r="G5" i="3" s="1"/>
  <c r="R7" i="3"/>
  <c r="R23" i="3" l="1"/>
  <c r="P6" i="3"/>
  <c r="A7" i="3"/>
  <c r="Q6" i="3"/>
  <c r="M5" i="3"/>
  <c r="V5" i="3" s="1"/>
  <c r="H5" i="3"/>
  <c r="G6" i="3"/>
  <c r="O5" i="3"/>
  <c r="P5" i="3"/>
  <c r="I4" i="3"/>
  <c r="U4" i="3" s="1"/>
  <c r="Q5" i="3"/>
  <c r="E8" i="3"/>
  <c r="F13" i="3"/>
  <c r="F17" i="3"/>
  <c r="F21" i="3"/>
  <c r="E4" i="3"/>
  <c r="M4" i="3" s="1"/>
  <c r="V4" i="3" s="1"/>
  <c r="F4" i="3"/>
  <c r="O4" i="3" s="1"/>
  <c r="W4" i="3" s="1"/>
  <c r="E12" i="3"/>
  <c r="E16" i="3"/>
  <c r="X4" i="3" l="1"/>
  <c r="S5" i="3"/>
  <c r="J5" i="3"/>
  <c r="U5" i="3"/>
  <c r="T5" i="3"/>
  <c r="M6" i="3"/>
  <c r="V6" i="3" s="1"/>
  <c r="G7" i="3"/>
  <c r="H6" i="3"/>
  <c r="O6" i="3"/>
  <c r="W6" i="3" s="1"/>
  <c r="T6" i="3"/>
  <c r="W5" i="3"/>
  <c r="A8" i="3"/>
  <c r="P7" i="3"/>
  <c r="Q7" i="3"/>
  <c r="G8" i="3" l="1"/>
  <c r="O7" i="3"/>
  <c r="W7" i="3" s="1"/>
  <c r="H7" i="3"/>
  <c r="M7" i="3"/>
  <c r="V7" i="3" s="1"/>
  <c r="T7" i="3"/>
  <c r="S6" i="3"/>
  <c r="J6" i="3"/>
  <c r="U6" i="3" s="1"/>
  <c r="A9" i="3"/>
  <c r="Q8" i="3"/>
  <c r="P8" i="3"/>
  <c r="X5" i="3"/>
  <c r="A10" i="3" l="1"/>
  <c r="Q9" i="3"/>
  <c r="P9" i="3"/>
  <c r="S7" i="3"/>
  <c r="J7" i="3"/>
  <c r="U7" i="3" s="1"/>
  <c r="H8" i="3"/>
  <c r="G9" i="3"/>
  <c r="O8" i="3"/>
  <c r="W8" i="3" s="1"/>
  <c r="M8" i="3"/>
  <c r="V8" i="3" s="1"/>
  <c r="X6" i="3"/>
  <c r="T8" i="3"/>
  <c r="T9" i="3" l="1"/>
  <c r="A11" i="3"/>
  <c r="Q10" i="3"/>
  <c r="P10" i="3"/>
  <c r="X7" i="3"/>
  <c r="H9" i="3"/>
  <c r="M9" i="3"/>
  <c r="V9" i="3" s="1"/>
  <c r="G10" i="3"/>
  <c r="O9" i="3"/>
  <c r="W9" i="3" s="1"/>
  <c r="J8" i="3"/>
  <c r="U8" i="3" s="1"/>
  <c r="S8" i="3"/>
  <c r="X8" i="3" l="1"/>
  <c r="S9" i="3"/>
  <c r="J9" i="3"/>
  <c r="U9" i="3" s="1"/>
  <c r="T10" i="3"/>
  <c r="G11" i="3"/>
  <c r="M10" i="3"/>
  <c r="V10" i="3" s="1"/>
  <c r="H10" i="3"/>
  <c r="O10" i="3"/>
  <c r="W10" i="3" s="1"/>
  <c r="P11" i="3"/>
  <c r="A12" i="3"/>
  <c r="Q11" i="3"/>
  <c r="G12" i="3" l="1"/>
  <c r="M11" i="3"/>
  <c r="V11" i="3" s="1"/>
  <c r="H11" i="3"/>
  <c r="O11" i="3"/>
  <c r="W11" i="3" s="1"/>
  <c r="T11" i="3"/>
  <c r="S10" i="3"/>
  <c r="J10" i="3"/>
  <c r="U10" i="3" s="1"/>
  <c r="P12" i="3"/>
  <c r="A13" i="3"/>
  <c r="Q12" i="3"/>
  <c r="X9" i="3"/>
  <c r="X10" i="3" l="1"/>
  <c r="T12" i="3"/>
  <c r="A14" i="3"/>
  <c r="Q13" i="3"/>
  <c r="P13" i="3"/>
  <c r="S11" i="3"/>
  <c r="J11" i="3"/>
  <c r="U11" i="3" s="1"/>
  <c r="G13" i="3"/>
  <c r="O12" i="3"/>
  <c r="W12" i="3" s="1"/>
  <c r="M12" i="3"/>
  <c r="V12" i="3" s="1"/>
  <c r="H12" i="3"/>
  <c r="H13" i="3" l="1"/>
  <c r="M13" i="3"/>
  <c r="V13" i="3" s="1"/>
  <c r="G14" i="3"/>
  <c r="O13" i="3"/>
  <c r="W13" i="3" s="1"/>
  <c r="X11" i="3"/>
  <c r="T13" i="3"/>
  <c r="S12" i="3"/>
  <c r="J12" i="3"/>
  <c r="U12" i="3" s="1"/>
  <c r="A15" i="3"/>
  <c r="Q14" i="3"/>
  <c r="P14" i="3"/>
  <c r="X12" i="3" l="1"/>
  <c r="Q15" i="3"/>
  <c r="A16" i="3"/>
  <c r="P15" i="3"/>
  <c r="T14" i="3"/>
  <c r="O14" i="3"/>
  <c r="W14" i="3" s="1"/>
  <c r="H14" i="3"/>
  <c r="G15" i="3"/>
  <c r="M14" i="3"/>
  <c r="V14" i="3" s="1"/>
  <c r="J13" i="3"/>
  <c r="U13" i="3" s="1"/>
  <c r="S13" i="3"/>
  <c r="T15" i="3" l="1"/>
  <c r="M15" i="3"/>
  <c r="V15" i="3" s="1"/>
  <c r="H15" i="3"/>
  <c r="G16" i="3"/>
  <c r="O15" i="3"/>
  <c r="W15" i="3" s="1"/>
  <c r="S14" i="3"/>
  <c r="J14" i="3"/>
  <c r="U14" i="3" s="1"/>
  <c r="P16" i="3"/>
  <c r="A17" i="3"/>
  <c r="Q16" i="3"/>
  <c r="X13" i="3"/>
  <c r="G17" i="3" l="1"/>
  <c r="O16" i="3"/>
  <c r="W16" i="3" s="1"/>
  <c r="H16" i="3"/>
  <c r="M16" i="3"/>
  <c r="V16" i="3" s="1"/>
  <c r="S15" i="3"/>
  <c r="J15" i="3"/>
  <c r="U15" i="3" s="1"/>
  <c r="T16" i="3"/>
  <c r="X14" i="3"/>
  <c r="A18" i="3"/>
  <c r="Q17" i="3"/>
  <c r="P17" i="3"/>
  <c r="X15" i="3" l="1"/>
  <c r="T17" i="3"/>
  <c r="J16" i="3"/>
  <c r="U16" i="3" s="1"/>
  <c r="S16" i="3"/>
  <c r="X16" i="3" s="1"/>
  <c r="A19" i="3"/>
  <c r="Q18" i="3"/>
  <c r="P18" i="3"/>
  <c r="H17" i="3"/>
  <c r="G18" i="3"/>
  <c r="O17" i="3"/>
  <c r="W17" i="3" s="1"/>
  <c r="M17" i="3"/>
  <c r="V17" i="3" s="1"/>
  <c r="T18" i="3" l="1"/>
  <c r="H18" i="3"/>
  <c r="O18" i="3"/>
  <c r="W18" i="3" s="1"/>
  <c r="G19" i="3"/>
  <c r="M18" i="3"/>
  <c r="V18" i="3" s="1"/>
  <c r="Q19" i="3"/>
  <c r="P19" i="3"/>
  <c r="A20" i="3"/>
  <c r="S17" i="3"/>
  <c r="J17" i="3"/>
  <c r="U17" i="3" s="1"/>
  <c r="X17" i="3" l="1"/>
  <c r="P20" i="3"/>
  <c r="A21" i="3"/>
  <c r="Q20" i="3"/>
  <c r="T19" i="3"/>
  <c r="M19" i="3"/>
  <c r="V19" i="3" s="1"/>
  <c r="H19" i="3"/>
  <c r="G20" i="3"/>
  <c r="O19" i="3"/>
  <c r="W19" i="3" s="1"/>
  <c r="S18" i="3"/>
  <c r="J18" i="3"/>
  <c r="U18" i="3" s="1"/>
  <c r="G21" i="3" l="1"/>
  <c r="O20" i="3"/>
  <c r="W20" i="3" s="1"/>
  <c r="H20" i="3"/>
  <c r="M20" i="3"/>
  <c r="V20" i="3" s="1"/>
  <c r="S19" i="3"/>
  <c r="J19" i="3"/>
  <c r="U19" i="3" s="1"/>
  <c r="T20" i="3"/>
  <c r="X18" i="3"/>
  <c r="A22" i="3"/>
  <c r="Q21" i="3"/>
  <c r="P21" i="3"/>
  <c r="A23" i="3" l="1"/>
  <c r="Q22" i="3"/>
  <c r="P22" i="3"/>
  <c r="H21" i="3"/>
  <c r="G22" i="3"/>
  <c r="O21" i="3"/>
  <c r="W21" i="3" s="1"/>
  <c r="M21" i="3"/>
  <c r="V21" i="3" s="1"/>
  <c r="X19" i="3"/>
  <c r="T21" i="3"/>
  <c r="S20" i="3"/>
  <c r="J20" i="3"/>
  <c r="U20" i="3" s="1"/>
  <c r="S21" i="3" l="1"/>
  <c r="J21" i="3"/>
  <c r="U21" i="3" s="1"/>
  <c r="T22" i="3"/>
  <c r="H22" i="3"/>
  <c r="O22" i="3"/>
  <c r="W22" i="3" s="1"/>
  <c r="G23" i="3"/>
  <c r="M22" i="3"/>
  <c r="V22" i="3" s="1"/>
  <c r="X20" i="3"/>
  <c r="Q23" i="3"/>
  <c r="P23" i="3"/>
  <c r="T23" i="3" l="1"/>
  <c r="T24" i="3" s="1"/>
  <c r="X21" i="3"/>
  <c r="M23" i="3"/>
  <c r="V23" i="3" s="1"/>
  <c r="V24" i="3" s="1"/>
  <c r="H23" i="3"/>
  <c r="O23" i="3"/>
  <c r="W23" i="3" s="1"/>
  <c r="W24" i="3" s="1"/>
  <c r="S22" i="3"/>
  <c r="J22" i="3"/>
  <c r="U22" i="3" s="1"/>
  <c r="X22" i="3" l="1"/>
  <c r="S23" i="3"/>
  <c r="J23" i="3"/>
  <c r="U23" i="3" s="1"/>
  <c r="U24" i="3" s="1"/>
  <c r="X23" i="3" l="1"/>
  <c r="X24" i="3" s="1"/>
  <c r="S24" i="3"/>
  <c r="AA9" i="3" s="1"/>
  <c r="R4" i="19" l="1"/>
  <c r="D48" i="19"/>
  <c r="D46" i="19"/>
  <c r="D44" i="19"/>
  <c r="D42" i="19"/>
  <c r="D40" i="19"/>
  <c r="D38" i="19"/>
  <c r="D36" i="19"/>
  <c r="D34" i="19"/>
  <c r="D32" i="19"/>
  <c r="D30" i="19"/>
  <c r="D28" i="19"/>
  <c r="D26" i="19"/>
  <c r="D24" i="19"/>
  <c r="D22" i="19"/>
  <c r="D20" i="19"/>
  <c r="D18" i="19"/>
  <c r="D16" i="19"/>
  <c r="D14" i="19"/>
  <c r="D12" i="19"/>
  <c r="D10" i="19"/>
  <c r="E12" i="19" s="1"/>
  <c r="A9" i="19"/>
  <c r="B9" i="19" s="1"/>
  <c r="L8" i="19"/>
  <c r="M8" i="19" s="1"/>
  <c r="C8" i="19"/>
  <c r="F8" i="19" s="1"/>
  <c r="Q4" i="19"/>
  <c r="M2" i="2"/>
  <c r="C9" i="19" l="1"/>
  <c r="H9" i="19" s="1"/>
  <c r="E14" i="19"/>
  <c r="E16" i="19" s="1"/>
  <c r="E18" i="19" s="1"/>
  <c r="E20" i="19" s="1"/>
  <c r="E22" i="19" s="1"/>
  <c r="E24" i="19" s="1"/>
  <c r="E26" i="19" s="1"/>
  <c r="E28" i="19" s="1"/>
  <c r="E30" i="19" s="1"/>
  <c r="E32" i="19" s="1"/>
  <c r="E34" i="19" s="1"/>
  <c r="E36" i="19" s="1"/>
  <c r="E38" i="19" s="1"/>
  <c r="E40" i="19" s="1"/>
  <c r="E42" i="19" s="1"/>
  <c r="E44" i="19" s="1"/>
  <c r="E46" i="19" s="1"/>
  <c r="E48" i="19" s="1"/>
  <c r="L9" i="19"/>
  <c r="A10" i="19"/>
  <c r="K11" i="9" a="1"/>
  <c r="K11" i="9" s="1"/>
  <c r="F9" i="19" l="1"/>
  <c r="C10" i="19"/>
  <c r="A11" i="19"/>
  <c r="B10" i="19"/>
  <c r="L10" i="19"/>
  <c r="O9" i="19"/>
  <c r="M9" i="19"/>
  <c r="K12" i="9"/>
  <c r="J12" i="9"/>
  <c r="R4" i="8"/>
  <c r="Q4" i="8"/>
  <c r="O10" i="19" l="1"/>
  <c r="M10" i="19"/>
  <c r="B11" i="19"/>
  <c r="A12" i="19"/>
  <c r="L11" i="19"/>
  <c r="O11" i="19" s="1"/>
  <c r="C11" i="19"/>
  <c r="H11" i="19" s="1"/>
  <c r="F10" i="19"/>
  <c r="H10" i="19"/>
  <c r="B4" i="18"/>
  <c r="X19" i="15"/>
  <c r="Q19" i="15"/>
  <c r="O19" i="15"/>
  <c r="C19" i="15"/>
  <c r="Q18" i="15"/>
  <c r="O18" i="15"/>
  <c r="R18" i="15" s="1"/>
  <c r="C18" i="15"/>
  <c r="Q17" i="15"/>
  <c r="O17" i="15"/>
  <c r="C17" i="15"/>
  <c r="Q16" i="15"/>
  <c r="O16" i="15"/>
  <c r="C16" i="15"/>
  <c r="Q15" i="15"/>
  <c r="O15" i="15"/>
  <c r="C15" i="15"/>
  <c r="Q14" i="15"/>
  <c r="O14" i="15"/>
  <c r="R14" i="15" s="1"/>
  <c r="E14" i="15"/>
  <c r="C14" i="15"/>
  <c r="Q13" i="15"/>
  <c r="O13" i="15"/>
  <c r="R13" i="15" s="1"/>
  <c r="E13" i="15"/>
  <c r="C13" i="15"/>
  <c r="Q12" i="15"/>
  <c r="O12" i="15"/>
  <c r="R12" i="15" s="1"/>
  <c r="E12" i="15"/>
  <c r="C12" i="15"/>
  <c r="Q11" i="15"/>
  <c r="O11" i="15"/>
  <c r="R11" i="15" s="1"/>
  <c r="E11" i="15"/>
  <c r="C11" i="15"/>
  <c r="Q10" i="15"/>
  <c r="O10" i="15"/>
  <c r="E10" i="15"/>
  <c r="C10" i="15"/>
  <c r="Q9" i="15"/>
  <c r="O9" i="15"/>
  <c r="R9" i="15" s="1"/>
  <c r="E9" i="15"/>
  <c r="C9" i="15"/>
  <c r="Q8" i="15"/>
  <c r="O8" i="15"/>
  <c r="E8" i="15"/>
  <c r="C8" i="15"/>
  <c r="Q7" i="15"/>
  <c r="O7" i="15"/>
  <c r="G7" i="15"/>
  <c r="G8" i="15" s="1"/>
  <c r="E7" i="15"/>
  <c r="C7" i="15"/>
  <c r="Q6" i="15"/>
  <c r="P6" i="15"/>
  <c r="F6" i="15"/>
  <c r="F7" i="15" s="1"/>
  <c r="F8" i="15" s="1"/>
  <c r="F9" i="15" s="1"/>
  <c r="F10" i="15" s="1"/>
  <c r="F11" i="15" s="1"/>
  <c r="F12" i="15" s="1"/>
  <c r="F13" i="15" s="1"/>
  <c r="F14" i="15" s="1"/>
  <c r="E6" i="15"/>
  <c r="C6" i="15"/>
  <c r="P5" i="15"/>
  <c r="R5" i="15" s="1"/>
  <c r="D5" i="15"/>
  <c r="H5" i="15" s="1"/>
  <c r="C5" i="15"/>
  <c r="B26" i="12"/>
  <c r="B24" i="12"/>
  <c r="B23" i="12"/>
  <c r="B21" i="12"/>
  <c r="D48" i="10"/>
  <c r="D46" i="10"/>
  <c r="D44" i="10"/>
  <c r="D42" i="10"/>
  <c r="D40" i="10"/>
  <c r="D38" i="10"/>
  <c r="D36" i="10"/>
  <c r="D34" i="10"/>
  <c r="D32" i="10"/>
  <c r="D30" i="10"/>
  <c r="D28" i="10"/>
  <c r="D26" i="10"/>
  <c r="D24" i="10"/>
  <c r="D22" i="10"/>
  <c r="D20" i="10"/>
  <c r="D18" i="10"/>
  <c r="D16" i="10"/>
  <c r="D14" i="10"/>
  <c r="D12" i="10"/>
  <c r="D10" i="10"/>
  <c r="E12" i="10" s="1"/>
  <c r="E14" i="10" s="1"/>
  <c r="A9" i="10"/>
  <c r="S8" i="10"/>
  <c r="T8" i="10" s="1"/>
  <c r="C4" i="10"/>
  <c r="L8" i="10" s="1"/>
  <c r="M8" i="10" s="1"/>
  <c r="D48" i="8"/>
  <c r="D46" i="8"/>
  <c r="D44" i="8"/>
  <c r="D42" i="8"/>
  <c r="D40" i="8"/>
  <c r="D38" i="8"/>
  <c r="D36" i="8"/>
  <c r="D34" i="8"/>
  <c r="D32" i="8"/>
  <c r="D30" i="8"/>
  <c r="D28" i="8"/>
  <c r="D26" i="8"/>
  <c r="D24" i="8"/>
  <c r="D22" i="8"/>
  <c r="D20" i="8"/>
  <c r="D18" i="8"/>
  <c r="D16" i="8"/>
  <c r="D14" i="8"/>
  <c r="D12" i="8"/>
  <c r="D10" i="8"/>
  <c r="E12" i="8" s="1"/>
  <c r="A10" i="8"/>
  <c r="A9" i="8"/>
  <c r="L8" i="8"/>
  <c r="M8" i="8" s="1"/>
  <c r="C8" i="8"/>
  <c r="F8" i="8" s="1"/>
  <c r="N29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R4" i="5"/>
  <c r="R5" i="5" s="1"/>
  <c r="R6" i="5" s="1"/>
  <c r="R7" i="5" s="1"/>
  <c r="R8" i="5" s="1"/>
  <c r="R9" i="5" s="1"/>
  <c r="R10" i="5" s="1"/>
  <c r="R11" i="5" s="1"/>
  <c r="R12" i="5" s="1"/>
  <c r="R13" i="5" s="1"/>
  <c r="R14" i="5" s="1"/>
  <c r="R15" i="5" s="1"/>
  <c r="R16" i="5" s="1"/>
  <c r="R17" i="5" s="1"/>
  <c r="R18" i="5" s="1"/>
  <c r="R19" i="5" s="1"/>
  <c r="R20" i="5" s="1"/>
  <c r="R21" i="5" s="1"/>
  <c r="R22" i="5" s="1"/>
  <c r="R23" i="5" s="1"/>
  <c r="K4" i="5"/>
  <c r="H4" i="5"/>
  <c r="G4" i="5"/>
  <c r="S27" i="5" s="1"/>
  <c r="E63" i="2"/>
  <c r="D63" i="2"/>
  <c r="E62" i="2"/>
  <c r="D62" i="2"/>
  <c r="F62" i="2" s="1"/>
  <c r="E61" i="2"/>
  <c r="D61" i="2"/>
  <c r="F61" i="2" s="1"/>
  <c r="E60" i="2"/>
  <c r="D60" i="2"/>
  <c r="F60" i="2" s="1"/>
  <c r="E59" i="2"/>
  <c r="D59" i="2"/>
  <c r="E58" i="2"/>
  <c r="D58" i="2"/>
  <c r="F58" i="2" s="1"/>
  <c r="E57" i="2"/>
  <c r="D57" i="2"/>
  <c r="F57" i="2" s="1"/>
  <c r="E56" i="2"/>
  <c r="D56" i="2"/>
  <c r="F56" i="2" s="1"/>
  <c r="E55" i="2"/>
  <c r="D55" i="2"/>
  <c r="E54" i="2"/>
  <c r="D54" i="2"/>
  <c r="F54" i="2" s="1"/>
  <c r="E53" i="2"/>
  <c r="D53" i="2"/>
  <c r="F53" i="2" s="1"/>
  <c r="E52" i="2"/>
  <c r="D52" i="2"/>
  <c r="F52" i="2" s="1"/>
  <c r="E51" i="2"/>
  <c r="D51" i="2"/>
  <c r="E50" i="2"/>
  <c r="D50" i="2"/>
  <c r="F50" i="2" s="1"/>
  <c r="E49" i="2"/>
  <c r="D49" i="2"/>
  <c r="F49" i="2" s="1"/>
  <c r="E48" i="2"/>
  <c r="D48" i="2"/>
  <c r="F48" i="2" s="1"/>
  <c r="E47" i="2"/>
  <c r="D47" i="2"/>
  <c r="E46" i="2"/>
  <c r="D46" i="2"/>
  <c r="F46" i="2" s="1"/>
  <c r="E45" i="2"/>
  <c r="D45" i="2"/>
  <c r="F45" i="2" s="1"/>
  <c r="E44" i="2"/>
  <c r="D44" i="2"/>
  <c r="F44" i="2" s="1"/>
  <c r="E43" i="2"/>
  <c r="D43" i="2"/>
  <c r="E42" i="2"/>
  <c r="D42" i="2"/>
  <c r="F42" i="2" s="1"/>
  <c r="E41" i="2"/>
  <c r="D41" i="2"/>
  <c r="F41" i="2" s="1"/>
  <c r="E40" i="2"/>
  <c r="D40" i="2"/>
  <c r="F40" i="2" s="1"/>
  <c r="E39" i="2"/>
  <c r="D39" i="2"/>
  <c r="E38" i="2"/>
  <c r="D38" i="2"/>
  <c r="F38" i="2" s="1"/>
  <c r="E37" i="2"/>
  <c r="D37" i="2"/>
  <c r="F37" i="2" s="1"/>
  <c r="E36" i="2"/>
  <c r="D36" i="2"/>
  <c r="F36" i="2" s="1"/>
  <c r="E35" i="2"/>
  <c r="G35" i="2" s="1"/>
  <c r="D35" i="2"/>
  <c r="E34" i="2"/>
  <c r="G34" i="2" s="1"/>
  <c r="D34" i="2"/>
  <c r="F34" i="2" s="1"/>
  <c r="E33" i="2"/>
  <c r="D33" i="2"/>
  <c r="F33" i="2" s="1"/>
  <c r="E32" i="2"/>
  <c r="G32" i="2" s="1"/>
  <c r="D32" i="2"/>
  <c r="E31" i="2"/>
  <c r="D31" i="2"/>
  <c r="F31" i="2" s="1"/>
  <c r="E30" i="2"/>
  <c r="G30" i="2" s="1"/>
  <c r="D30" i="2"/>
  <c r="F30" i="2" s="1"/>
  <c r="E29" i="2"/>
  <c r="D29" i="2"/>
  <c r="E28" i="2"/>
  <c r="G28" i="2" s="1"/>
  <c r="D28" i="2"/>
  <c r="E27" i="2"/>
  <c r="D27" i="2"/>
  <c r="E26" i="2"/>
  <c r="D26" i="2"/>
  <c r="E25" i="2"/>
  <c r="D25" i="2"/>
  <c r="E24" i="2"/>
  <c r="F24" i="2" s="1"/>
  <c r="D24" i="2"/>
  <c r="E23" i="2"/>
  <c r="D23" i="2"/>
  <c r="E22" i="2"/>
  <c r="D22" i="2"/>
  <c r="E21" i="2"/>
  <c r="D21" i="2"/>
  <c r="E20" i="2"/>
  <c r="G20" i="2" s="1"/>
  <c r="D20" i="2"/>
  <c r="E19" i="2"/>
  <c r="D19" i="2"/>
  <c r="E18" i="2"/>
  <c r="D18" i="2"/>
  <c r="E17" i="2"/>
  <c r="D17" i="2"/>
  <c r="E16" i="2"/>
  <c r="F16" i="2" s="1"/>
  <c r="D16" i="2"/>
  <c r="E15" i="2"/>
  <c r="D15" i="2"/>
  <c r="E14" i="2"/>
  <c r="D14" i="2"/>
  <c r="E13" i="2"/>
  <c r="D13" i="2"/>
  <c r="E12" i="2"/>
  <c r="G12" i="2" s="1"/>
  <c r="D12" i="2"/>
  <c r="E11" i="2"/>
  <c r="D11" i="2"/>
  <c r="E10" i="2"/>
  <c r="D10" i="2"/>
  <c r="E9" i="2"/>
  <c r="D9" i="2"/>
  <c r="E8" i="2"/>
  <c r="G8" i="2" s="1"/>
  <c r="D8" i="2"/>
  <c r="E7" i="2"/>
  <c r="D7" i="2"/>
  <c r="E6" i="2"/>
  <c r="D6" i="2"/>
  <c r="E5" i="2"/>
  <c r="D5" i="2"/>
  <c r="E4" i="2"/>
  <c r="G4" i="2" s="1"/>
  <c r="D4" i="2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E3" i="2"/>
  <c r="D3" i="2"/>
  <c r="F3" i="2" s="1"/>
  <c r="I3" i="2" s="1"/>
  <c r="K6" i="15" l="1"/>
  <c r="J6" i="15"/>
  <c r="L6" i="15"/>
  <c r="I6" i="15"/>
  <c r="M6" i="15" s="1"/>
  <c r="J5" i="15"/>
  <c r="I5" i="15"/>
  <c r="K5" i="15"/>
  <c r="L5" i="15"/>
  <c r="L7" i="15"/>
  <c r="K7" i="15"/>
  <c r="I7" i="15"/>
  <c r="J7" i="15"/>
  <c r="H7" i="15"/>
  <c r="I8" i="15"/>
  <c r="J8" i="15"/>
  <c r="K8" i="15"/>
  <c r="L8" i="15"/>
  <c r="J9" i="15"/>
  <c r="L9" i="15"/>
  <c r="K9" i="15"/>
  <c r="I9" i="15"/>
  <c r="K10" i="15"/>
  <c r="I10" i="15"/>
  <c r="J10" i="15"/>
  <c r="J11" i="15"/>
  <c r="K11" i="15"/>
  <c r="I11" i="15"/>
  <c r="I12" i="15"/>
  <c r="L12" i="15"/>
  <c r="J12" i="15"/>
  <c r="K12" i="15"/>
  <c r="J13" i="15"/>
  <c r="K13" i="15"/>
  <c r="I13" i="15"/>
  <c r="K14" i="15"/>
  <c r="I14" i="15"/>
  <c r="J14" i="15"/>
  <c r="S9" i="10"/>
  <c r="C8" i="10"/>
  <c r="F8" i="10" s="1"/>
  <c r="E16" i="10"/>
  <c r="E18" i="10" s="1"/>
  <c r="E20" i="10" s="1"/>
  <c r="E22" i="10" s="1"/>
  <c r="E24" i="10" s="1"/>
  <c r="E26" i="10" s="1"/>
  <c r="E28" i="10" s="1"/>
  <c r="E30" i="10" s="1"/>
  <c r="E32" i="10" s="1"/>
  <c r="E34" i="10" s="1"/>
  <c r="E36" i="10" s="1"/>
  <c r="E38" i="10" s="1"/>
  <c r="E40" i="10" s="1"/>
  <c r="E42" i="10" s="1"/>
  <c r="E44" i="10" s="1"/>
  <c r="E46" i="10" s="1"/>
  <c r="E48" i="10" s="1"/>
  <c r="R8" i="15"/>
  <c r="R10" i="15"/>
  <c r="R15" i="15"/>
  <c r="R19" i="15"/>
  <c r="R6" i="15"/>
  <c r="R7" i="15"/>
  <c r="R16" i="15"/>
  <c r="R17" i="15"/>
  <c r="A13" i="19"/>
  <c r="C12" i="19"/>
  <c r="B12" i="19"/>
  <c r="L12" i="19"/>
  <c r="G13" i="2"/>
  <c r="F14" i="2"/>
  <c r="G33" i="2"/>
  <c r="F19" i="2"/>
  <c r="G5" i="2"/>
  <c r="F17" i="2"/>
  <c r="G25" i="2"/>
  <c r="F10" i="2"/>
  <c r="G22" i="2"/>
  <c r="G3" i="2"/>
  <c r="J3" i="2" s="1"/>
  <c r="F11" i="2"/>
  <c r="F23" i="2"/>
  <c r="G27" i="2"/>
  <c r="G31" i="2"/>
  <c r="F9" i="2"/>
  <c r="F21" i="2"/>
  <c r="G29" i="2"/>
  <c r="G6" i="2"/>
  <c r="G18" i="2"/>
  <c r="F26" i="2"/>
  <c r="F7" i="2"/>
  <c r="G15" i="2"/>
  <c r="F32" i="2"/>
  <c r="F35" i="2"/>
  <c r="F39" i="2"/>
  <c r="F43" i="2"/>
  <c r="F47" i="2"/>
  <c r="F51" i="2"/>
  <c r="F55" i="2"/>
  <c r="F59" i="2"/>
  <c r="F63" i="2"/>
  <c r="H4" i="2"/>
  <c r="F6" i="2"/>
  <c r="F8" i="2"/>
  <c r="F12" i="2"/>
  <c r="F13" i="2"/>
  <c r="F15" i="2"/>
  <c r="F18" i="2"/>
  <c r="F20" i="2"/>
  <c r="F22" i="2"/>
  <c r="F25" i="2"/>
  <c r="F27" i="2"/>
  <c r="F28" i="2"/>
  <c r="F29" i="2"/>
  <c r="G7" i="2"/>
  <c r="G9" i="2"/>
  <c r="G10" i="2"/>
  <c r="G11" i="2"/>
  <c r="G14" i="2"/>
  <c r="G16" i="2"/>
  <c r="G17" i="2"/>
  <c r="G19" i="2"/>
  <c r="G21" i="2"/>
  <c r="G23" i="2"/>
  <c r="G24" i="2"/>
  <c r="G26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L10" i="8"/>
  <c r="C10" i="8"/>
  <c r="A11" i="8"/>
  <c r="B10" i="8"/>
  <c r="F4" i="2"/>
  <c r="F5" i="2"/>
  <c r="H5" i="5"/>
  <c r="U4" i="5"/>
  <c r="I4" i="5"/>
  <c r="G5" i="5"/>
  <c r="C9" i="8"/>
  <c r="L9" i="8"/>
  <c r="B9" i="8"/>
  <c r="E14" i="8"/>
  <c r="E16" i="8"/>
  <c r="E18" i="8" s="1"/>
  <c r="E20" i="8" s="1"/>
  <c r="E22" i="8" s="1"/>
  <c r="E24" i="8" s="1"/>
  <c r="E26" i="8" s="1"/>
  <c r="E28" i="8" s="1"/>
  <c r="E30" i="8" s="1"/>
  <c r="E32" i="8" s="1"/>
  <c r="E34" i="8" s="1"/>
  <c r="E36" i="8" s="1"/>
  <c r="E38" i="8" s="1"/>
  <c r="E40" i="8" s="1"/>
  <c r="E42" i="8" s="1"/>
  <c r="E44" i="8" s="1"/>
  <c r="E46" i="8" s="1"/>
  <c r="E48" i="8" s="1"/>
  <c r="V9" i="10"/>
  <c r="T9" i="10"/>
  <c r="A10" i="10"/>
  <c r="C9" i="10"/>
  <c r="L9" i="10"/>
  <c r="B9" i="10"/>
  <c r="G9" i="15"/>
  <c r="G10" i="15" s="1"/>
  <c r="G11" i="15" s="1"/>
  <c r="G12" i="15" s="1"/>
  <c r="H8" i="15"/>
  <c r="H6" i="15"/>
  <c r="M7" i="15" l="1"/>
  <c r="M12" i="15"/>
  <c r="L11" i="15"/>
  <c r="M8" i="15"/>
  <c r="M5" i="15"/>
  <c r="M13" i="15"/>
  <c r="M11" i="15"/>
  <c r="L10" i="15"/>
  <c r="M10" i="15" s="1"/>
  <c r="M9" i="15"/>
  <c r="O12" i="19"/>
  <c r="M12" i="19"/>
  <c r="F12" i="19"/>
  <c r="H12" i="19"/>
  <c r="B13" i="19"/>
  <c r="A14" i="19"/>
  <c r="L13" i="19"/>
  <c r="O13" i="19" s="1"/>
  <c r="C13" i="19"/>
  <c r="H13" i="19" s="1"/>
  <c r="H10" i="15"/>
  <c r="O9" i="8"/>
  <c r="M9" i="8"/>
  <c r="M4" i="5"/>
  <c r="O9" i="10"/>
  <c r="M9" i="10"/>
  <c r="F9" i="8"/>
  <c r="H9" i="8"/>
  <c r="I4" i="2"/>
  <c r="H10" i="8"/>
  <c r="A12" i="8"/>
  <c r="C11" i="8"/>
  <c r="H11" i="8" s="1"/>
  <c r="B11" i="8"/>
  <c r="L11" i="8"/>
  <c r="O11" i="8" s="1"/>
  <c r="H9" i="15"/>
  <c r="H11" i="15"/>
  <c r="F9" i="10"/>
  <c r="H9" i="10"/>
  <c r="M10" i="8"/>
  <c r="O10" i="8"/>
  <c r="G13" i="15"/>
  <c r="L13" i="15" s="1"/>
  <c r="H12" i="15"/>
  <c r="A11" i="10"/>
  <c r="L10" i="10"/>
  <c r="C10" i="10"/>
  <c r="B10" i="10"/>
  <c r="S10" i="10"/>
  <c r="G6" i="5"/>
  <c r="J5" i="5"/>
  <c r="M5" i="5" s="1"/>
  <c r="H6" i="5"/>
  <c r="U5" i="5"/>
  <c r="J4" i="2"/>
  <c r="A15" i="19" l="1"/>
  <c r="C14" i="19"/>
  <c r="B14" i="19"/>
  <c r="L14" i="19"/>
  <c r="H5" i="2"/>
  <c r="B4" i="5"/>
  <c r="Q4" i="5" s="1"/>
  <c r="J5" i="2"/>
  <c r="I5" i="2"/>
  <c r="G14" i="15"/>
  <c r="H13" i="15"/>
  <c r="H7" i="5"/>
  <c r="U6" i="5"/>
  <c r="J6" i="5"/>
  <c r="M6" i="5" s="1"/>
  <c r="G7" i="5"/>
  <c r="O10" i="10"/>
  <c r="M10" i="10"/>
  <c r="F10" i="10"/>
  <c r="H10" i="10"/>
  <c r="V10" i="10"/>
  <c r="T10" i="10"/>
  <c r="A12" i="10"/>
  <c r="S11" i="10"/>
  <c r="V11" i="10" s="1"/>
  <c r="C11" i="10"/>
  <c r="H11" i="10" s="1"/>
  <c r="B11" i="10"/>
  <c r="L11" i="10"/>
  <c r="O11" i="10" s="1"/>
  <c r="L12" i="8"/>
  <c r="A13" i="8"/>
  <c r="C12" i="8"/>
  <c r="B12" i="8"/>
  <c r="H14" i="15" l="1"/>
  <c r="L14" i="15"/>
  <c r="M14" i="15" s="1"/>
  <c r="M21" i="15" s="1"/>
  <c r="C2" i="18" s="1"/>
  <c r="O14" i="19"/>
  <c r="M14" i="19"/>
  <c r="F14" i="19"/>
  <c r="H14" i="19"/>
  <c r="B15" i="19"/>
  <c r="A16" i="19"/>
  <c r="L15" i="19"/>
  <c r="O15" i="19" s="1"/>
  <c r="C15" i="19"/>
  <c r="H15" i="19" s="1"/>
  <c r="H6" i="2"/>
  <c r="B5" i="5"/>
  <c r="Q5" i="5" s="1"/>
  <c r="J6" i="2"/>
  <c r="I6" i="2"/>
  <c r="M12" i="8"/>
  <c r="O12" i="8"/>
  <c r="G8" i="5"/>
  <c r="H8" i="5"/>
  <c r="U7" i="5"/>
  <c r="J7" i="5"/>
  <c r="M7" i="5" s="1"/>
  <c r="A14" i="8"/>
  <c r="C13" i="8"/>
  <c r="H13" i="8" s="1"/>
  <c r="B13" i="8"/>
  <c r="L13" i="8"/>
  <c r="O13" i="8" s="1"/>
  <c r="L12" i="10"/>
  <c r="S12" i="10"/>
  <c r="C12" i="10"/>
  <c r="A13" i="10"/>
  <c r="B12" i="10"/>
  <c r="D4" i="5"/>
  <c r="F4" i="5" s="1"/>
  <c r="O4" i="5" s="1"/>
  <c r="H12" i="8"/>
  <c r="F12" i="8"/>
  <c r="C4" i="5"/>
  <c r="E4" i="5" s="1"/>
  <c r="N4" i="5" s="1"/>
  <c r="A17" i="19" l="1"/>
  <c r="C16" i="19"/>
  <c r="B16" i="19"/>
  <c r="L16" i="19"/>
  <c r="S13" i="10"/>
  <c r="V13" i="10" s="1"/>
  <c r="C13" i="10"/>
  <c r="H13" i="10" s="1"/>
  <c r="B13" i="10"/>
  <c r="A14" i="10"/>
  <c r="L13" i="10"/>
  <c r="O13" i="10" s="1"/>
  <c r="J8" i="5"/>
  <c r="M8" i="5"/>
  <c r="H9" i="5"/>
  <c r="U8" i="5"/>
  <c r="P4" i="5"/>
  <c r="S4" i="5" s="1"/>
  <c r="H12" i="10"/>
  <c r="F12" i="10"/>
  <c r="C5" i="5"/>
  <c r="E5" i="5" s="1"/>
  <c r="N5" i="5" s="1"/>
  <c r="V12" i="10"/>
  <c r="T12" i="10"/>
  <c r="L14" i="8"/>
  <c r="A15" i="8"/>
  <c r="C14" i="8"/>
  <c r="B14" i="8"/>
  <c r="D5" i="5"/>
  <c r="F5" i="5" s="1"/>
  <c r="O5" i="5" s="1"/>
  <c r="M12" i="10"/>
  <c r="O12" i="10"/>
  <c r="G9" i="5"/>
  <c r="H7" i="2"/>
  <c r="B17" i="19" l="1"/>
  <c r="A18" i="19"/>
  <c r="L17" i="19"/>
  <c r="O17" i="19" s="1"/>
  <c r="C17" i="19"/>
  <c r="H17" i="19" s="1"/>
  <c r="F16" i="19"/>
  <c r="H16" i="19"/>
  <c r="O16" i="19"/>
  <c r="M16" i="19"/>
  <c r="P5" i="5"/>
  <c r="S5" i="5" s="1"/>
  <c r="H10" i="5"/>
  <c r="U9" i="5"/>
  <c r="J9" i="5"/>
  <c r="B6" i="5"/>
  <c r="Q6" i="5" s="1"/>
  <c r="I7" i="2"/>
  <c r="J7" i="2"/>
  <c r="S14" i="10"/>
  <c r="C14" i="10"/>
  <c r="A15" i="10"/>
  <c r="B14" i="10"/>
  <c r="L14" i="10"/>
  <c r="A16" i="8"/>
  <c r="C15" i="8"/>
  <c r="H15" i="8" s="1"/>
  <c r="B15" i="8"/>
  <c r="L15" i="8"/>
  <c r="O15" i="8" s="1"/>
  <c r="M14" i="8"/>
  <c r="O14" i="8"/>
  <c r="H14" i="8"/>
  <c r="F14" i="8"/>
  <c r="G10" i="5"/>
  <c r="A19" i="19" l="1"/>
  <c r="C18" i="19"/>
  <c r="B18" i="19"/>
  <c r="L18" i="19"/>
  <c r="H8" i="2"/>
  <c r="B7" i="5"/>
  <c r="Q7" i="5" s="1"/>
  <c r="J8" i="2"/>
  <c r="I8" i="2"/>
  <c r="H9" i="2" s="1"/>
  <c r="B15" i="10"/>
  <c r="A16" i="10"/>
  <c r="L15" i="10"/>
  <c r="O15" i="10" s="1"/>
  <c r="S15" i="10"/>
  <c r="V15" i="10" s="1"/>
  <c r="C15" i="10"/>
  <c r="H15" i="10" s="1"/>
  <c r="M9" i="5"/>
  <c r="C6" i="5"/>
  <c r="E6" i="5" s="1"/>
  <c r="J10" i="5"/>
  <c r="M10" i="5" s="1"/>
  <c r="H11" i="5"/>
  <c r="U10" i="5"/>
  <c r="H14" i="10"/>
  <c r="F14" i="10"/>
  <c r="G11" i="5"/>
  <c r="L16" i="8"/>
  <c r="A17" i="8"/>
  <c r="C16" i="8"/>
  <c r="B16" i="8"/>
  <c r="O14" i="10"/>
  <c r="M14" i="10"/>
  <c r="T14" i="10"/>
  <c r="V14" i="10"/>
  <c r="D6" i="5"/>
  <c r="F6" i="5" s="1"/>
  <c r="O6" i="5" s="1"/>
  <c r="F18" i="19" l="1"/>
  <c r="H18" i="19"/>
  <c r="O18" i="19"/>
  <c r="M18" i="19"/>
  <c r="B19" i="19"/>
  <c r="A20" i="19"/>
  <c r="L19" i="19"/>
  <c r="O19" i="19" s="1"/>
  <c r="C19" i="19"/>
  <c r="H19" i="19" s="1"/>
  <c r="A18" i="8"/>
  <c r="C17" i="8"/>
  <c r="H17" i="8" s="1"/>
  <c r="B17" i="8"/>
  <c r="L17" i="8"/>
  <c r="O17" i="8" s="1"/>
  <c r="B8" i="5"/>
  <c r="Q8" i="5" s="1"/>
  <c r="I9" i="2"/>
  <c r="J9" i="2"/>
  <c r="M16" i="8"/>
  <c r="O16" i="8"/>
  <c r="G12" i="5"/>
  <c r="H12" i="5"/>
  <c r="U11" i="5"/>
  <c r="J11" i="5"/>
  <c r="M11" i="5" s="1"/>
  <c r="P6" i="5"/>
  <c r="S6" i="5" s="1"/>
  <c r="C7" i="5"/>
  <c r="E7" i="5" s="1"/>
  <c r="N7" i="5" s="1"/>
  <c r="H16" i="8"/>
  <c r="F16" i="8"/>
  <c r="B16" i="10"/>
  <c r="A17" i="10"/>
  <c r="C16" i="10"/>
  <c r="S16" i="10"/>
  <c r="L16" i="10"/>
  <c r="D7" i="5"/>
  <c r="F7" i="5" s="1"/>
  <c r="O7" i="5" s="1"/>
  <c r="A21" i="19" l="1"/>
  <c r="C20" i="19"/>
  <c r="B20" i="19"/>
  <c r="L20" i="19"/>
  <c r="D8" i="5"/>
  <c r="F8" i="5" s="1"/>
  <c r="O8" i="5" s="1"/>
  <c r="A18" i="10"/>
  <c r="B17" i="10"/>
  <c r="S17" i="10"/>
  <c r="V17" i="10" s="1"/>
  <c r="C17" i="10"/>
  <c r="H17" i="10" s="1"/>
  <c r="L17" i="10"/>
  <c r="O17" i="10" s="1"/>
  <c r="G13" i="5"/>
  <c r="C8" i="5"/>
  <c r="E8" i="5" s="1"/>
  <c r="N8" i="5" s="1"/>
  <c r="P8" i="5" s="1"/>
  <c r="S8" i="5" s="1"/>
  <c r="L18" i="8"/>
  <c r="A19" i="8"/>
  <c r="C18" i="8"/>
  <c r="B18" i="8"/>
  <c r="H16" i="10"/>
  <c r="F16" i="10"/>
  <c r="P7" i="5"/>
  <c r="S7" i="5" s="1"/>
  <c r="O16" i="10"/>
  <c r="M16" i="10"/>
  <c r="J12" i="5"/>
  <c r="M12" i="5" s="1"/>
  <c r="H13" i="5"/>
  <c r="U12" i="5"/>
  <c r="T16" i="10"/>
  <c r="V16" i="10"/>
  <c r="H10" i="2"/>
  <c r="O20" i="19" l="1"/>
  <c r="M20" i="19"/>
  <c r="H20" i="19"/>
  <c r="F20" i="19"/>
  <c r="B21" i="19"/>
  <c r="A22" i="19"/>
  <c r="L21" i="19"/>
  <c r="O21" i="19" s="1"/>
  <c r="C21" i="19"/>
  <c r="H21" i="19" s="1"/>
  <c r="B18" i="10"/>
  <c r="A19" i="10"/>
  <c r="C18" i="10"/>
  <c r="L18" i="10"/>
  <c r="S18" i="10"/>
  <c r="A20" i="8"/>
  <c r="C19" i="8"/>
  <c r="H19" i="8" s="1"/>
  <c r="B19" i="8"/>
  <c r="L19" i="8"/>
  <c r="O19" i="8" s="1"/>
  <c r="M18" i="8"/>
  <c r="O18" i="8"/>
  <c r="B9" i="5"/>
  <c r="Q9" i="5" s="1"/>
  <c r="I10" i="2"/>
  <c r="J10" i="2"/>
  <c r="H14" i="5"/>
  <c r="U13" i="5"/>
  <c r="J13" i="5"/>
  <c r="M13" i="5" s="1"/>
  <c r="H18" i="8"/>
  <c r="F18" i="8"/>
  <c r="G14" i="5"/>
  <c r="A23" i="19" l="1"/>
  <c r="C22" i="19"/>
  <c r="B22" i="19"/>
  <c r="L22" i="19"/>
  <c r="J14" i="5"/>
  <c r="M14" i="5"/>
  <c r="U14" i="5"/>
  <c r="H15" i="5"/>
  <c r="C9" i="5"/>
  <c r="E9" i="5" s="1"/>
  <c r="N9" i="5" s="1"/>
  <c r="H18" i="10"/>
  <c r="F18" i="10"/>
  <c r="G15" i="5"/>
  <c r="H11" i="2"/>
  <c r="B19" i="10"/>
  <c r="A20" i="10"/>
  <c r="S19" i="10"/>
  <c r="V19" i="10" s="1"/>
  <c r="C19" i="10"/>
  <c r="H19" i="10" s="1"/>
  <c r="L19" i="10"/>
  <c r="O19" i="10" s="1"/>
  <c r="V18" i="10"/>
  <c r="T18" i="10"/>
  <c r="D9" i="5"/>
  <c r="F9" i="5" s="1"/>
  <c r="O9" i="5" s="1"/>
  <c r="L20" i="8"/>
  <c r="A21" i="8"/>
  <c r="C20" i="8"/>
  <c r="B20" i="8"/>
  <c r="O18" i="10"/>
  <c r="M18" i="10"/>
  <c r="B23" i="19" l="1"/>
  <c r="A24" i="19"/>
  <c r="L23" i="19"/>
  <c r="O23" i="19" s="1"/>
  <c r="C23" i="19"/>
  <c r="H23" i="19" s="1"/>
  <c r="O22" i="19"/>
  <c r="M22" i="19"/>
  <c r="H22" i="19"/>
  <c r="F22" i="19"/>
  <c r="A21" i="10"/>
  <c r="B20" i="10"/>
  <c r="S20" i="10"/>
  <c r="C20" i="10"/>
  <c r="L20" i="10"/>
  <c r="B10" i="5"/>
  <c r="Q10" i="5" s="1"/>
  <c r="I11" i="2"/>
  <c r="J11" i="2"/>
  <c r="P9" i="5"/>
  <c r="S9" i="5" s="1"/>
  <c r="H16" i="5"/>
  <c r="U15" i="5"/>
  <c r="J15" i="5"/>
  <c r="M15" i="5" s="1"/>
  <c r="H20" i="8"/>
  <c r="F20" i="8"/>
  <c r="A22" i="8"/>
  <c r="C21" i="8"/>
  <c r="H21" i="8" s="1"/>
  <c r="B21" i="8"/>
  <c r="L21" i="8"/>
  <c r="O21" i="8" s="1"/>
  <c r="M20" i="8"/>
  <c r="O20" i="8"/>
  <c r="G16" i="5"/>
  <c r="A25" i="19" l="1"/>
  <c r="C24" i="19"/>
  <c r="B24" i="19"/>
  <c r="L24" i="19"/>
  <c r="D10" i="5"/>
  <c r="F10" i="5" s="1"/>
  <c r="O10" i="5" s="1"/>
  <c r="V20" i="10"/>
  <c r="T20" i="10"/>
  <c r="J16" i="5"/>
  <c r="M16" i="5"/>
  <c r="H17" i="5"/>
  <c r="U16" i="5"/>
  <c r="C10" i="5"/>
  <c r="E10" i="5" s="1"/>
  <c r="N10" i="5" s="1"/>
  <c r="P10" i="5" s="1"/>
  <c r="S10" i="5" s="1"/>
  <c r="H12" i="2"/>
  <c r="O20" i="10"/>
  <c r="M20" i="10"/>
  <c r="A22" i="10"/>
  <c r="S21" i="10"/>
  <c r="V21" i="10" s="1"/>
  <c r="B21" i="10"/>
  <c r="L21" i="10"/>
  <c r="O21" i="10" s="1"/>
  <c r="C21" i="10"/>
  <c r="H21" i="10" s="1"/>
  <c r="G17" i="5"/>
  <c r="L22" i="8"/>
  <c r="A23" i="8"/>
  <c r="C22" i="8"/>
  <c r="B22" i="8"/>
  <c r="F20" i="10"/>
  <c r="H20" i="10"/>
  <c r="O24" i="19" l="1"/>
  <c r="M24" i="19"/>
  <c r="B25" i="19"/>
  <c r="A26" i="19"/>
  <c r="L25" i="19"/>
  <c r="O25" i="19" s="1"/>
  <c r="C25" i="19"/>
  <c r="H25" i="19" s="1"/>
  <c r="F24" i="19"/>
  <c r="H24" i="19"/>
  <c r="A24" i="8"/>
  <c r="C23" i="8"/>
  <c r="H23" i="8" s="1"/>
  <c r="B23" i="8"/>
  <c r="L23" i="8"/>
  <c r="O23" i="8" s="1"/>
  <c r="H18" i="5"/>
  <c r="U17" i="5"/>
  <c r="J17" i="5"/>
  <c r="M22" i="8"/>
  <c r="O22" i="8"/>
  <c r="G18" i="5"/>
  <c r="B11" i="5"/>
  <c r="Q11" i="5" s="1"/>
  <c r="J12" i="2"/>
  <c r="I12" i="2"/>
  <c r="H13" i="2" s="1"/>
  <c r="H22" i="8"/>
  <c r="F22" i="8"/>
  <c r="A23" i="10"/>
  <c r="B22" i="10"/>
  <c r="L22" i="10"/>
  <c r="C22" i="10"/>
  <c r="S22" i="10"/>
  <c r="A27" i="19" l="1"/>
  <c r="C26" i="19"/>
  <c r="B26" i="19"/>
  <c r="L26" i="19"/>
  <c r="B12" i="5"/>
  <c r="Q12" i="5" s="1"/>
  <c r="J13" i="2"/>
  <c r="I13" i="2"/>
  <c r="J18" i="5"/>
  <c r="M18" i="5"/>
  <c r="U18" i="5"/>
  <c r="H19" i="5"/>
  <c r="V22" i="10"/>
  <c r="T22" i="10"/>
  <c r="A24" i="10"/>
  <c r="S23" i="10"/>
  <c r="V23" i="10" s="1"/>
  <c r="B23" i="10"/>
  <c r="C23" i="10"/>
  <c r="H23" i="10" s="1"/>
  <c r="L23" i="10"/>
  <c r="O23" i="10" s="1"/>
  <c r="M17" i="5"/>
  <c r="L24" i="8"/>
  <c r="A25" i="8"/>
  <c r="C24" i="8"/>
  <c r="B24" i="8"/>
  <c r="C11" i="5"/>
  <c r="E11" i="5" s="1"/>
  <c r="N11" i="5" s="1"/>
  <c r="G19" i="5"/>
  <c r="H22" i="10"/>
  <c r="F22" i="10"/>
  <c r="M22" i="10"/>
  <c r="O22" i="10"/>
  <c r="D11" i="5"/>
  <c r="F11" i="5" s="1"/>
  <c r="O11" i="5" s="1"/>
  <c r="B27" i="19" l="1"/>
  <c r="A28" i="19"/>
  <c r="L27" i="19"/>
  <c r="O27" i="19" s="1"/>
  <c r="C27" i="19"/>
  <c r="H27" i="19" s="1"/>
  <c r="F26" i="19"/>
  <c r="H26" i="19"/>
  <c r="O26" i="19"/>
  <c r="M26" i="19"/>
  <c r="G20" i="5"/>
  <c r="H24" i="8"/>
  <c r="F24" i="8"/>
  <c r="H20" i="5"/>
  <c r="U19" i="5"/>
  <c r="J19" i="5"/>
  <c r="C12" i="5"/>
  <c r="E12" i="5" s="1"/>
  <c r="N12" i="5" s="1"/>
  <c r="A26" i="8"/>
  <c r="C25" i="8"/>
  <c r="H25" i="8" s="1"/>
  <c r="B25" i="8"/>
  <c r="L25" i="8"/>
  <c r="O25" i="8" s="1"/>
  <c r="B24" i="10"/>
  <c r="A25" i="10"/>
  <c r="L24" i="10"/>
  <c r="S24" i="10"/>
  <c r="C24" i="10"/>
  <c r="D12" i="5"/>
  <c r="F12" i="5" s="1"/>
  <c r="O12" i="5" s="1"/>
  <c r="P11" i="5"/>
  <c r="S11" i="5" s="1"/>
  <c r="M24" i="8"/>
  <c r="O24" i="8"/>
  <c r="H14" i="2"/>
  <c r="C28" i="19" l="1"/>
  <c r="B28" i="19"/>
  <c r="L28" i="19"/>
  <c r="A29" i="19"/>
  <c r="O24" i="10"/>
  <c r="M24" i="10"/>
  <c r="M19" i="5"/>
  <c r="A26" i="10"/>
  <c r="B25" i="10"/>
  <c r="S25" i="10"/>
  <c r="V25" i="10" s="1"/>
  <c r="L25" i="10"/>
  <c r="O25" i="10" s="1"/>
  <c r="C25" i="10"/>
  <c r="H25" i="10" s="1"/>
  <c r="G21" i="5"/>
  <c r="H24" i="10"/>
  <c r="F24" i="10"/>
  <c r="L26" i="8"/>
  <c r="A27" i="8"/>
  <c r="C26" i="8"/>
  <c r="B26" i="8"/>
  <c r="B13" i="5"/>
  <c r="Q13" i="5" s="1"/>
  <c r="H15" i="2"/>
  <c r="I14" i="2"/>
  <c r="J14" i="2"/>
  <c r="T24" i="10"/>
  <c r="V24" i="10"/>
  <c r="P12" i="5"/>
  <c r="S12" i="5" s="1"/>
  <c r="J20" i="5"/>
  <c r="M20" i="5" s="1"/>
  <c r="H21" i="5"/>
  <c r="U20" i="5"/>
  <c r="Q28" i="19" l="1"/>
  <c r="Q60" i="19" s="1"/>
  <c r="O28" i="19"/>
  <c r="M28" i="19"/>
  <c r="J28" i="19"/>
  <c r="J60" i="19" s="1"/>
  <c r="F28" i="19"/>
  <c r="H28" i="19"/>
  <c r="A30" i="19"/>
  <c r="L29" i="19"/>
  <c r="O29" i="19" s="1"/>
  <c r="C29" i="19"/>
  <c r="H29" i="19" s="1"/>
  <c r="B29" i="19"/>
  <c r="H26" i="8"/>
  <c r="F26" i="8"/>
  <c r="D13" i="5"/>
  <c r="F13" i="5" s="1"/>
  <c r="O13" i="5" s="1"/>
  <c r="C27" i="8"/>
  <c r="H27" i="8" s="1"/>
  <c r="B27" i="8"/>
  <c r="L27" i="8"/>
  <c r="A28" i="8"/>
  <c r="H22" i="5"/>
  <c r="U21" i="5"/>
  <c r="J21" i="5"/>
  <c r="B14" i="5"/>
  <c r="Q14" i="5" s="1"/>
  <c r="J15" i="2"/>
  <c r="I15" i="2"/>
  <c r="B26" i="10"/>
  <c r="A27" i="10"/>
  <c r="S26" i="10"/>
  <c r="C26" i="10"/>
  <c r="L26" i="10"/>
  <c r="C13" i="5"/>
  <c r="E13" i="5" s="1"/>
  <c r="N13" i="5" s="1"/>
  <c r="M26" i="8"/>
  <c r="O26" i="8"/>
  <c r="G22" i="5"/>
  <c r="B30" i="19" l="1"/>
  <c r="L30" i="19"/>
  <c r="A31" i="19"/>
  <c r="C30" i="19"/>
  <c r="H16" i="2"/>
  <c r="B15" i="5" s="1"/>
  <c r="Q15" i="5" s="1"/>
  <c r="P13" i="5"/>
  <c r="S13" i="5" s="1"/>
  <c r="I16" i="2"/>
  <c r="J16" i="2"/>
  <c r="A28" i="10"/>
  <c r="B27" i="10"/>
  <c r="L27" i="10"/>
  <c r="C27" i="10"/>
  <c r="H27" i="10" s="1"/>
  <c r="S27" i="10"/>
  <c r="V27" i="10" s="1"/>
  <c r="M21" i="5"/>
  <c r="C28" i="8"/>
  <c r="B28" i="8"/>
  <c r="A29" i="8"/>
  <c r="L28" i="8"/>
  <c r="D14" i="5"/>
  <c r="F14" i="5" s="1"/>
  <c r="O14" i="5" s="1"/>
  <c r="G23" i="5"/>
  <c r="O26" i="10"/>
  <c r="M26" i="10"/>
  <c r="O27" i="8"/>
  <c r="V26" i="10"/>
  <c r="T26" i="10"/>
  <c r="J22" i="5"/>
  <c r="M22" i="5"/>
  <c r="U22" i="5"/>
  <c r="H23" i="5"/>
  <c r="H26" i="10"/>
  <c r="F26" i="10"/>
  <c r="C14" i="5"/>
  <c r="E14" i="5" s="1"/>
  <c r="N14" i="5" s="1"/>
  <c r="P14" i="5" s="1"/>
  <c r="S14" i="5" s="1"/>
  <c r="H30" i="19" l="1"/>
  <c r="F30" i="19"/>
  <c r="B31" i="19"/>
  <c r="A32" i="19"/>
  <c r="L31" i="19"/>
  <c r="O31" i="19" s="1"/>
  <c r="C31" i="19"/>
  <c r="H31" i="19" s="1"/>
  <c r="O30" i="19"/>
  <c r="M30" i="19"/>
  <c r="A29" i="10"/>
  <c r="B28" i="10"/>
  <c r="C28" i="10"/>
  <c r="L28" i="10"/>
  <c r="S28" i="10"/>
  <c r="D15" i="5"/>
  <c r="F15" i="5" s="1"/>
  <c r="O15" i="5" s="1"/>
  <c r="D4" i="9"/>
  <c r="J28" i="8"/>
  <c r="J60" i="8" s="1"/>
  <c r="H28" i="8"/>
  <c r="F28" i="8"/>
  <c r="C15" i="5"/>
  <c r="E15" i="5" s="1"/>
  <c r="N15" i="5" s="1"/>
  <c r="P15" i="5" s="1"/>
  <c r="S15" i="5" s="1"/>
  <c r="A30" i="8"/>
  <c r="C29" i="8"/>
  <c r="H29" i="8" s="1"/>
  <c r="B29" i="8"/>
  <c r="L29" i="8"/>
  <c r="O29" i="8" s="1"/>
  <c r="M23" i="5"/>
  <c r="U23" i="5"/>
  <c r="J23" i="5"/>
  <c r="Q28" i="8"/>
  <c r="Q60" i="8" s="1"/>
  <c r="O28" i="8"/>
  <c r="M28" i="8"/>
  <c r="D5" i="9"/>
  <c r="D13" i="9" s="1"/>
  <c r="N27" i="10"/>
  <c r="O27" i="10"/>
  <c r="H17" i="2"/>
  <c r="B32" i="19" l="1"/>
  <c r="L32" i="19"/>
  <c r="A33" i="19"/>
  <c r="C32" i="19"/>
  <c r="B30" i="8"/>
  <c r="L30" i="8"/>
  <c r="C30" i="8"/>
  <c r="A31" i="8"/>
  <c r="O28" i="10"/>
  <c r="M28" i="10"/>
  <c r="V28" i="10"/>
  <c r="T28" i="10"/>
  <c r="D12" i="9"/>
  <c r="H28" i="10"/>
  <c r="F28" i="10"/>
  <c r="A30" i="10"/>
  <c r="B29" i="10"/>
  <c r="C29" i="10"/>
  <c r="H29" i="10" s="1"/>
  <c r="L29" i="10"/>
  <c r="O29" i="10" s="1"/>
  <c r="S29" i="10"/>
  <c r="V29" i="10" s="1"/>
  <c r="B16" i="5"/>
  <c r="Q16" i="5" s="1"/>
  <c r="I17" i="2"/>
  <c r="J17" i="2"/>
  <c r="H32" i="19" l="1"/>
  <c r="F32" i="19"/>
  <c r="A34" i="19"/>
  <c r="B33" i="19"/>
  <c r="L33" i="19"/>
  <c r="O33" i="19" s="1"/>
  <c r="C33" i="19"/>
  <c r="H33" i="19" s="1"/>
  <c r="O32" i="19"/>
  <c r="M32" i="19"/>
  <c r="F30" i="8"/>
  <c r="H30" i="8"/>
  <c r="D16" i="5"/>
  <c r="F16" i="5" s="1"/>
  <c r="O16" i="5" s="1"/>
  <c r="O30" i="8"/>
  <c r="M30" i="8"/>
  <c r="A32" i="8"/>
  <c r="C31" i="8"/>
  <c r="H31" i="8" s="1"/>
  <c r="B31" i="8"/>
  <c r="L31" i="8"/>
  <c r="O31" i="8" s="1"/>
  <c r="C16" i="5"/>
  <c r="E16" i="5" s="1"/>
  <c r="N16" i="5" s="1"/>
  <c r="P16" i="5" s="1"/>
  <c r="S16" i="5" s="1"/>
  <c r="H18" i="2"/>
  <c r="A31" i="10"/>
  <c r="B30" i="10"/>
  <c r="S30" i="10"/>
  <c r="C30" i="10"/>
  <c r="L30" i="10"/>
  <c r="D17" i="9"/>
  <c r="D14" i="9"/>
  <c r="D15" i="9" s="1"/>
  <c r="B34" i="19" l="1"/>
  <c r="L34" i="19"/>
  <c r="A35" i="19"/>
  <c r="C34" i="19"/>
  <c r="O30" i="10"/>
  <c r="M30" i="10"/>
  <c r="A32" i="10"/>
  <c r="B31" i="10"/>
  <c r="L31" i="10"/>
  <c r="O31" i="10" s="1"/>
  <c r="C31" i="10"/>
  <c r="H31" i="10" s="1"/>
  <c r="S31" i="10"/>
  <c r="V31" i="10" s="1"/>
  <c r="B32" i="8"/>
  <c r="L32" i="8"/>
  <c r="A33" i="8"/>
  <c r="C32" i="8"/>
  <c r="F30" i="10"/>
  <c r="H30" i="10"/>
  <c r="B17" i="5"/>
  <c r="Q17" i="5" s="1"/>
  <c r="J18" i="2"/>
  <c r="I18" i="2"/>
  <c r="H19" i="2" s="1"/>
  <c r="T30" i="10"/>
  <c r="V30" i="10"/>
  <c r="A36" i="19" l="1"/>
  <c r="L35" i="19"/>
  <c r="O35" i="19" s="1"/>
  <c r="B35" i="19"/>
  <c r="C35" i="19"/>
  <c r="H35" i="19" s="1"/>
  <c r="O34" i="19"/>
  <c r="M34" i="19"/>
  <c r="H34" i="19"/>
  <c r="F34" i="19"/>
  <c r="B18" i="5"/>
  <c r="Q18" i="5" s="1"/>
  <c r="I19" i="2"/>
  <c r="J19" i="2"/>
  <c r="H20" i="2" s="1"/>
  <c r="O32" i="8"/>
  <c r="M32" i="8"/>
  <c r="A34" i="8"/>
  <c r="C33" i="8"/>
  <c r="H33" i="8" s="1"/>
  <c r="B33" i="8"/>
  <c r="L33" i="8"/>
  <c r="O33" i="8" s="1"/>
  <c r="B32" i="10"/>
  <c r="A33" i="10"/>
  <c r="S32" i="10"/>
  <c r="L32" i="10"/>
  <c r="C32" i="10"/>
  <c r="C17" i="5"/>
  <c r="E17" i="5" s="1"/>
  <c r="N17" i="5" s="1"/>
  <c r="D17" i="5"/>
  <c r="F17" i="5" s="1"/>
  <c r="O17" i="5" s="1"/>
  <c r="P17" i="5" s="1"/>
  <c r="S17" i="5" s="1"/>
  <c r="F32" i="8"/>
  <c r="H32" i="8"/>
  <c r="B36" i="19" l="1"/>
  <c r="L36" i="19"/>
  <c r="A37" i="19"/>
  <c r="C36" i="19"/>
  <c r="A34" i="10"/>
  <c r="B33" i="10"/>
  <c r="L33" i="10"/>
  <c r="O33" i="10" s="1"/>
  <c r="S33" i="10"/>
  <c r="V33" i="10" s="1"/>
  <c r="C33" i="10"/>
  <c r="H33" i="10" s="1"/>
  <c r="H32" i="10"/>
  <c r="F32" i="10"/>
  <c r="B34" i="8"/>
  <c r="L34" i="8"/>
  <c r="C34" i="8"/>
  <c r="A35" i="8"/>
  <c r="D18" i="5"/>
  <c r="F18" i="5" s="1"/>
  <c r="O18" i="5" s="1"/>
  <c r="V32" i="10"/>
  <c r="T32" i="10"/>
  <c r="B19" i="5"/>
  <c r="Q19" i="5" s="1"/>
  <c r="J20" i="2"/>
  <c r="I20" i="2"/>
  <c r="M32" i="10"/>
  <c r="O32" i="10"/>
  <c r="C18" i="5"/>
  <c r="E18" i="5" s="1"/>
  <c r="N18" i="5" s="1"/>
  <c r="H36" i="19" l="1"/>
  <c r="F36" i="19"/>
  <c r="A38" i="19"/>
  <c r="L37" i="19"/>
  <c r="O37" i="19" s="1"/>
  <c r="B37" i="19"/>
  <c r="C37" i="19"/>
  <c r="H37" i="19" s="1"/>
  <c r="O36" i="19"/>
  <c r="M36" i="19"/>
  <c r="P18" i="5"/>
  <c r="S18" i="5" s="1"/>
  <c r="D19" i="5"/>
  <c r="F19" i="5" s="1"/>
  <c r="O19" i="5" s="1"/>
  <c r="A36" i="8"/>
  <c r="C35" i="8"/>
  <c r="H35" i="8" s="1"/>
  <c r="B35" i="8"/>
  <c r="L35" i="8"/>
  <c r="O35" i="8" s="1"/>
  <c r="H21" i="2"/>
  <c r="F34" i="8"/>
  <c r="H34" i="8"/>
  <c r="O34" i="8"/>
  <c r="M34" i="8"/>
  <c r="C19" i="5"/>
  <c r="E19" i="5" s="1"/>
  <c r="N19" i="5" s="1"/>
  <c r="B34" i="10"/>
  <c r="A35" i="10"/>
  <c r="C34" i="10"/>
  <c r="L34" i="10"/>
  <c r="S34" i="10"/>
  <c r="B38" i="19" l="1"/>
  <c r="L38" i="19"/>
  <c r="A39" i="19"/>
  <c r="C38" i="19"/>
  <c r="B36" i="8"/>
  <c r="L36" i="8"/>
  <c r="C36" i="8"/>
  <c r="A37" i="8"/>
  <c r="P19" i="5"/>
  <c r="S19" i="5" s="1"/>
  <c r="O34" i="10"/>
  <c r="M34" i="10"/>
  <c r="F34" i="10"/>
  <c r="H34" i="10"/>
  <c r="T34" i="10"/>
  <c r="V34" i="10"/>
  <c r="B20" i="5"/>
  <c r="Q20" i="5" s="1"/>
  <c r="I21" i="2"/>
  <c r="J21" i="2"/>
  <c r="A36" i="10"/>
  <c r="B35" i="10"/>
  <c r="L35" i="10"/>
  <c r="O35" i="10" s="1"/>
  <c r="S35" i="10"/>
  <c r="V35" i="10" s="1"/>
  <c r="C35" i="10"/>
  <c r="H35" i="10" s="1"/>
  <c r="A40" i="19" l="1"/>
  <c r="L39" i="19"/>
  <c r="O39" i="19" s="1"/>
  <c r="B39" i="19"/>
  <c r="C39" i="19"/>
  <c r="H39" i="19" s="1"/>
  <c r="H38" i="19"/>
  <c r="F38" i="19"/>
  <c r="O38" i="19"/>
  <c r="M38" i="19"/>
  <c r="H22" i="2"/>
  <c r="B21" i="5"/>
  <c r="Q21" i="5" s="1"/>
  <c r="J22" i="2"/>
  <c r="I22" i="2"/>
  <c r="H23" i="2" s="1"/>
  <c r="F36" i="8"/>
  <c r="H36" i="8"/>
  <c r="A37" i="10"/>
  <c r="B36" i="10"/>
  <c r="S36" i="10"/>
  <c r="C36" i="10"/>
  <c r="L36" i="10"/>
  <c r="O36" i="8"/>
  <c r="M36" i="8"/>
  <c r="C20" i="5"/>
  <c r="E20" i="5" s="1"/>
  <c r="N20" i="5" s="1"/>
  <c r="A38" i="8"/>
  <c r="C37" i="8"/>
  <c r="H37" i="8" s="1"/>
  <c r="B37" i="8"/>
  <c r="L37" i="8"/>
  <c r="O37" i="8" s="1"/>
  <c r="D20" i="5"/>
  <c r="F20" i="5" s="1"/>
  <c r="O20" i="5" s="1"/>
  <c r="B40" i="19" l="1"/>
  <c r="L40" i="19"/>
  <c r="A41" i="19"/>
  <c r="C40" i="19"/>
  <c r="H36" i="10"/>
  <c r="F36" i="10"/>
  <c r="T36" i="10"/>
  <c r="V36" i="10"/>
  <c r="B38" i="8"/>
  <c r="L38" i="8"/>
  <c r="C38" i="8"/>
  <c r="A39" i="8"/>
  <c r="C21" i="5"/>
  <c r="E21" i="5" s="1"/>
  <c r="N21" i="5" s="1"/>
  <c r="P20" i="5"/>
  <c r="S20" i="5" s="1"/>
  <c r="B22" i="5"/>
  <c r="Q22" i="5" s="1"/>
  <c r="I23" i="2"/>
  <c r="J23" i="2"/>
  <c r="O36" i="10"/>
  <c r="M36" i="10"/>
  <c r="B37" i="10"/>
  <c r="A38" i="10"/>
  <c r="L37" i="10"/>
  <c r="O37" i="10" s="1"/>
  <c r="S37" i="10"/>
  <c r="V37" i="10" s="1"/>
  <c r="C37" i="10"/>
  <c r="H37" i="10" s="1"/>
  <c r="D21" i="5"/>
  <c r="F21" i="5" s="1"/>
  <c r="O21" i="5" s="1"/>
  <c r="P21" i="5" s="1"/>
  <c r="S21" i="5" s="1"/>
  <c r="A42" i="19" l="1"/>
  <c r="L41" i="19"/>
  <c r="O41" i="19" s="1"/>
  <c r="B41" i="19"/>
  <c r="C41" i="19"/>
  <c r="H41" i="19" s="1"/>
  <c r="H40" i="19"/>
  <c r="F40" i="19"/>
  <c r="O40" i="19"/>
  <c r="M40" i="19"/>
  <c r="D22" i="5"/>
  <c r="F22" i="5" s="1"/>
  <c r="O22" i="5" s="1"/>
  <c r="B3" i="6"/>
  <c r="C22" i="5"/>
  <c r="E22" i="5" s="1"/>
  <c r="N22" i="5" s="1"/>
  <c r="P22" i="5" s="1"/>
  <c r="S22" i="5" s="1"/>
  <c r="A39" i="10"/>
  <c r="B38" i="10"/>
  <c r="S38" i="10"/>
  <c r="C38" i="10"/>
  <c r="L38" i="10"/>
  <c r="O38" i="8"/>
  <c r="M38" i="8"/>
  <c r="H24" i="2"/>
  <c r="A40" i="8"/>
  <c r="C39" i="8"/>
  <c r="H39" i="8" s="1"/>
  <c r="B39" i="8"/>
  <c r="L39" i="8"/>
  <c r="O39" i="8" s="1"/>
  <c r="F38" i="8"/>
  <c r="H38" i="8"/>
  <c r="B42" i="19" l="1"/>
  <c r="L42" i="19"/>
  <c r="A43" i="19"/>
  <c r="C42" i="19"/>
  <c r="O38" i="10"/>
  <c r="M38" i="10"/>
  <c r="A40" i="10"/>
  <c r="B39" i="10"/>
  <c r="C39" i="10"/>
  <c r="H39" i="10" s="1"/>
  <c r="L39" i="10"/>
  <c r="O39" i="10" s="1"/>
  <c r="S39" i="10"/>
  <c r="V39" i="10" s="1"/>
  <c r="V38" i="10"/>
  <c r="T38" i="10"/>
  <c r="B40" i="8"/>
  <c r="L40" i="8"/>
  <c r="A41" i="8"/>
  <c r="C40" i="8"/>
  <c r="B23" i="5"/>
  <c r="Q23" i="5" s="1"/>
  <c r="I24" i="2"/>
  <c r="J24" i="2"/>
  <c r="F38" i="10"/>
  <c r="H38" i="10"/>
  <c r="A44" i="19" l="1"/>
  <c r="L43" i="19"/>
  <c r="O43" i="19" s="1"/>
  <c r="C43" i="19"/>
  <c r="H43" i="19" s="1"/>
  <c r="B43" i="19"/>
  <c r="H42" i="19"/>
  <c r="F42" i="19"/>
  <c r="O42" i="19"/>
  <c r="M42" i="19"/>
  <c r="C23" i="5"/>
  <c r="E23" i="5" s="1"/>
  <c r="N23" i="5" s="1"/>
  <c r="O40" i="8"/>
  <c r="M40" i="8"/>
  <c r="B40" i="10"/>
  <c r="A41" i="10"/>
  <c r="C40" i="10"/>
  <c r="S40" i="10"/>
  <c r="L40" i="10"/>
  <c r="H25" i="2"/>
  <c r="F40" i="8"/>
  <c r="H40" i="8"/>
  <c r="D23" i="5"/>
  <c r="F23" i="5" s="1"/>
  <c r="O23" i="5" s="1"/>
  <c r="A42" i="8"/>
  <c r="C41" i="8"/>
  <c r="H41" i="8" s="1"/>
  <c r="B41" i="8"/>
  <c r="L41" i="8"/>
  <c r="O41" i="8" s="1"/>
  <c r="B44" i="19" l="1"/>
  <c r="L44" i="19"/>
  <c r="A45" i="19"/>
  <c r="C44" i="19"/>
  <c r="J25" i="2"/>
  <c r="I25" i="2"/>
  <c r="H26" i="2" s="1"/>
  <c r="B41" i="10"/>
  <c r="A42" i="10"/>
  <c r="S41" i="10"/>
  <c r="V41" i="10" s="1"/>
  <c r="C41" i="10"/>
  <c r="H41" i="10" s="1"/>
  <c r="L41" i="10"/>
  <c r="O41" i="10" s="1"/>
  <c r="H40" i="10"/>
  <c r="F40" i="10"/>
  <c r="M40" i="10"/>
  <c r="O40" i="10"/>
  <c r="B42" i="8"/>
  <c r="L42" i="8"/>
  <c r="C42" i="8"/>
  <c r="A43" i="8"/>
  <c r="V40" i="10"/>
  <c r="T40" i="10"/>
  <c r="P23" i="5"/>
  <c r="S23" i="5" s="1"/>
  <c r="S25" i="5" s="1"/>
  <c r="H44" i="19" l="1"/>
  <c r="F44" i="19"/>
  <c r="A46" i="19"/>
  <c r="B45" i="19"/>
  <c r="L45" i="19"/>
  <c r="O45" i="19" s="1"/>
  <c r="C45" i="19"/>
  <c r="H45" i="19" s="1"/>
  <c r="O44" i="19"/>
  <c r="M44" i="19"/>
  <c r="I26" i="2"/>
  <c r="J26" i="2"/>
  <c r="H27" i="2" s="1"/>
  <c r="O42" i="8"/>
  <c r="M42" i="8"/>
  <c r="L43" i="8"/>
  <c r="O43" i="8" s="1"/>
  <c r="C43" i="8"/>
  <c r="H43" i="8" s="1"/>
  <c r="A44" i="8"/>
  <c r="B43" i="8"/>
  <c r="F42" i="8"/>
  <c r="H42" i="8"/>
  <c r="B42" i="10"/>
  <c r="A43" i="10"/>
  <c r="L42" i="10"/>
  <c r="S42" i="10"/>
  <c r="C42" i="10"/>
  <c r="B46" i="19" l="1"/>
  <c r="L46" i="19"/>
  <c r="A47" i="19"/>
  <c r="C46" i="19"/>
  <c r="J27" i="2"/>
  <c r="I27" i="2"/>
  <c r="H28" i="2" s="1"/>
  <c r="O42" i="10"/>
  <c r="M42" i="10"/>
  <c r="B43" i="10"/>
  <c r="A44" i="10"/>
  <c r="S43" i="10"/>
  <c r="V43" i="10" s="1"/>
  <c r="C43" i="10"/>
  <c r="H43" i="10" s="1"/>
  <c r="L43" i="10"/>
  <c r="O43" i="10" s="1"/>
  <c r="T42" i="10"/>
  <c r="V42" i="10"/>
  <c r="H42" i="10"/>
  <c r="F42" i="10"/>
  <c r="A45" i="8"/>
  <c r="C44" i="8"/>
  <c r="L44" i="8"/>
  <c r="B44" i="8"/>
  <c r="O46" i="19" l="1"/>
  <c r="M46" i="19"/>
  <c r="H46" i="19"/>
  <c r="F46" i="19"/>
  <c r="A48" i="19"/>
  <c r="B47" i="19"/>
  <c r="L47" i="19"/>
  <c r="O47" i="19" s="1"/>
  <c r="C47" i="19"/>
  <c r="H47" i="19" s="1"/>
  <c r="J28" i="2"/>
  <c r="I28" i="2"/>
  <c r="H29" i="2" s="1"/>
  <c r="H44" i="8"/>
  <c r="F44" i="8"/>
  <c r="A45" i="10"/>
  <c r="B44" i="10"/>
  <c r="L44" i="10"/>
  <c r="C44" i="10"/>
  <c r="S44" i="10"/>
  <c r="L45" i="8"/>
  <c r="O45" i="8" s="1"/>
  <c r="C45" i="8"/>
  <c r="H45" i="8" s="1"/>
  <c r="A46" i="8"/>
  <c r="B45" i="8"/>
  <c r="M44" i="8"/>
  <c r="O44" i="8"/>
  <c r="L48" i="19" l="1"/>
  <c r="B48" i="19"/>
  <c r="A49" i="19"/>
  <c r="C48" i="19"/>
  <c r="J29" i="2"/>
  <c r="I29" i="2"/>
  <c r="H30" i="2" s="1"/>
  <c r="O44" i="10"/>
  <c r="M44" i="10"/>
  <c r="B45" i="10"/>
  <c r="A46" i="10"/>
  <c r="L45" i="10"/>
  <c r="O45" i="10" s="1"/>
  <c r="S45" i="10"/>
  <c r="V45" i="10" s="1"/>
  <c r="C45" i="10"/>
  <c r="H45" i="10" s="1"/>
  <c r="V44" i="10"/>
  <c r="T44" i="10"/>
  <c r="A47" i="8"/>
  <c r="C46" i="8"/>
  <c r="L46" i="8"/>
  <c r="B46" i="8"/>
  <c r="H44" i="10"/>
  <c r="F44" i="10"/>
  <c r="L49" i="19" l="1"/>
  <c r="C49" i="19"/>
  <c r="B49" i="19"/>
  <c r="A50" i="19"/>
  <c r="I48" i="19"/>
  <c r="I60" i="19" s="1"/>
  <c r="H48" i="19"/>
  <c r="H60" i="19" s="1"/>
  <c r="G48" i="19"/>
  <c r="G60" i="19" s="1"/>
  <c r="F48" i="19"/>
  <c r="F60" i="19" s="1"/>
  <c r="G62" i="19" s="1"/>
  <c r="N48" i="19"/>
  <c r="N60" i="19" s="1"/>
  <c r="P48" i="19"/>
  <c r="P60" i="19" s="1"/>
  <c r="O48" i="19"/>
  <c r="O60" i="19" s="1"/>
  <c r="M48" i="19"/>
  <c r="M60" i="19" s="1"/>
  <c r="N62" i="19" s="1"/>
  <c r="I30" i="2"/>
  <c r="J30" i="2"/>
  <c r="A47" i="10"/>
  <c r="B46" i="10"/>
  <c r="C46" i="10"/>
  <c r="S46" i="10"/>
  <c r="L46" i="10"/>
  <c r="H46" i="8"/>
  <c r="F46" i="8"/>
  <c r="M46" i="8"/>
  <c r="O46" i="8"/>
  <c r="L47" i="8"/>
  <c r="O47" i="8" s="1"/>
  <c r="A48" i="8"/>
  <c r="C47" i="8"/>
  <c r="H47" i="8" s="1"/>
  <c r="B47" i="8"/>
  <c r="N66" i="19" l="1"/>
  <c r="B50" i="19"/>
  <c r="A51" i="19"/>
  <c r="L50" i="19"/>
  <c r="C50" i="19"/>
  <c r="H31" i="2"/>
  <c r="I31" i="2" s="1"/>
  <c r="H32" i="2" s="1"/>
  <c r="J31" i="2"/>
  <c r="V46" i="10"/>
  <c r="T46" i="10"/>
  <c r="A48" i="10"/>
  <c r="B47" i="10"/>
  <c r="C47" i="10"/>
  <c r="H47" i="10" s="1"/>
  <c r="L47" i="10"/>
  <c r="O47" i="10" s="1"/>
  <c r="S47" i="10"/>
  <c r="V47" i="10" s="1"/>
  <c r="A49" i="8"/>
  <c r="C48" i="8"/>
  <c r="L48" i="8"/>
  <c r="B48" i="8"/>
  <c r="F46" i="10"/>
  <c r="H46" i="10"/>
  <c r="O46" i="10"/>
  <c r="M46" i="10"/>
  <c r="L51" i="19" l="1"/>
  <c r="C51" i="19"/>
  <c r="B51" i="19"/>
  <c r="A52" i="19"/>
  <c r="I32" i="2"/>
  <c r="J32" i="2"/>
  <c r="A50" i="8"/>
  <c r="C49" i="8"/>
  <c r="L49" i="8"/>
  <c r="B49" i="8"/>
  <c r="G60" i="8"/>
  <c r="I48" i="8"/>
  <c r="I60" i="8" s="1"/>
  <c r="F48" i="8"/>
  <c r="F60" i="8" s="1"/>
  <c r="H48" i="8"/>
  <c r="H60" i="8" s="1"/>
  <c r="A49" i="10"/>
  <c r="B48" i="10"/>
  <c r="S48" i="10"/>
  <c r="C48" i="10"/>
  <c r="L48" i="10"/>
  <c r="M48" i="8"/>
  <c r="M60" i="8" s="1"/>
  <c r="O48" i="8"/>
  <c r="O60" i="8" s="1"/>
  <c r="P48" i="8"/>
  <c r="P60" i="8" s="1"/>
  <c r="N48" i="8"/>
  <c r="N60" i="8" s="1"/>
  <c r="A53" i="19" l="1"/>
  <c r="L52" i="19"/>
  <c r="B52" i="19"/>
  <c r="C52" i="19"/>
  <c r="H33" i="2"/>
  <c r="I33" i="2"/>
  <c r="H34" i="2" s="1"/>
  <c r="J33" i="2"/>
  <c r="C4" i="9"/>
  <c r="C5" i="9"/>
  <c r="U48" i="10"/>
  <c r="U60" i="10" s="1"/>
  <c r="T48" i="10"/>
  <c r="T60" i="10" s="1"/>
  <c r="V48" i="10"/>
  <c r="V60" i="10" s="1"/>
  <c r="W48" i="10"/>
  <c r="W60" i="10" s="1"/>
  <c r="O48" i="10"/>
  <c r="O60" i="10" s="1"/>
  <c r="N48" i="10"/>
  <c r="N60" i="10" s="1"/>
  <c r="P48" i="10"/>
  <c r="P60" i="10" s="1"/>
  <c r="M48" i="10"/>
  <c r="M60" i="10" s="1"/>
  <c r="A50" i="10"/>
  <c r="B49" i="10"/>
  <c r="S49" i="10"/>
  <c r="C49" i="10"/>
  <c r="L49" i="10"/>
  <c r="A51" i="8"/>
  <c r="L50" i="8"/>
  <c r="C50" i="8"/>
  <c r="B50" i="8"/>
  <c r="I48" i="10"/>
  <c r="I60" i="10" s="1"/>
  <c r="H48" i="10"/>
  <c r="H60" i="10" s="1"/>
  <c r="G48" i="10"/>
  <c r="G60" i="10" s="1"/>
  <c r="F48" i="10"/>
  <c r="F60" i="10" s="1"/>
  <c r="G62" i="8"/>
  <c r="N62" i="8"/>
  <c r="G62" i="10" l="1"/>
  <c r="M72" i="10" s="1"/>
  <c r="M13" i="12" s="1"/>
  <c r="N62" i="10"/>
  <c r="N66" i="10" s="1"/>
  <c r="M74" i="10" s="1"/>
  <c r="M15" i="12" s="1"/>
  <c r="L53" i="19"/>
  <c r="C53" i="19"/>
  <c r="B53" i="19"/>
  <c r="A54" i="19"/>
  <c r="I34" i="2"/>
  <c r="J34" i="2"/>
  <c r="B50" i="10"/>
  <c r="A51" i="10"/>
  <c r="S50" i="10"/>
  <c r="L50" i="10"/>
  <c r="C50" i="10"/>
  <c r="N66" i="8"/>
  <c r="E6" i="12" s="1"/>
  <c r="B5" i="9"/>
  <c r="G5" i="9" s="1"/>
  <c r="E2" i="12"/>
  <c r="B4" i="9"/>
  <c r="G4" i="9" s="1"/>
  <c r="A52" i="8"/>
  <c r="L51" i="8"/>
  <c r="C51" i="8"/>
  <c r="B51" i="8"/>
  <c r="U62" i="10"/>
  <c r="U66" i="10" s="1"/>
  <c r="M76" i="10" s="1"/>
  <c r="M17" i="12" s="1"/>
  <c r="B54" i="19" l="1"/>
  <c r="A55" i="19"/>
  <c r="L54" i="19"/>
  <c r="C54" i="19"/>
  <c r="H35" i="2"/>
  <c r="J35" i="2"/>
  <c r="I35" i="2"/>
  <c r="H36" i="2" s="1"/>
  <c r="F12" i="9"/>
  <c r="F13" i="9"/>
  <c r="A53" i="8"/>
  <c r="L52" i="8"/>
  <c r="C52" i="8"/>
  <c r="B52" i="8"/>
  <c r="B51" i="10"/>
  <c r="A52" i="10"/>
  <c r="S51" i="10"/>
  <c r="L51" i="10"/>
  <c r="C51" i="10"/>
  <c r="L55" i="19" l="1"/>
  <c r="C55" i="19"/>
  <c r="B55" i="19"/>
  <c r="A56" i="19"/>
  <c r="I36" i="2"/>
  <c r="J36" i="2"/>
  <c r="F17" i="9"/>
  <c r="F14" i="9"/>
  <c r="F15" i="9"/>
  <c r="A53" i="10"/>
  <c r="B52" i="10"/>
  <c r="L52" i="10"/>
  <c r="C52" i="10"/>
  <c r="S52" i="10"/>
  <c r="A54" i="8"/>
  <c r="L53" i="8"/>
  <c r="C53" i="8"/>
  <c r="B53" i="8"/>
  <c r="B56" i="19" l="1"/>
  <c r="A57" i="19"/>
  <c r="L56" i="19"/>
  <c r="C56" i="19"/>
  <c r="H37" i="2"/>
  <c r="I37" i="2"/>
  <c r="J37" i="2"/>
  <c r="H38" i="2" s="1"/>
  <c r="A55" i="8"/>
  <c r="L54" i="8"/>
  <c r="C54" i="8"/>
  <c r="B54" i="8"/>
  <c r="A54" i="10"/>
  <c r="B53" i="10"/>
  <c r="C53" i="10"/>
  <c r="L53" i="10"/>
  <c r="S53" i="10"/>
  <c r="L57" i="19" l="1"/>
  <c r="C57" i="19"/>
  <c r="B57" i="19"/>
  <c r="A58" i="19"/>
  <c r="I38" i="2"/>
  <c r="J38" i="2"/>
  <c r="H39" i="2" s="1"/>
  <c r="A56" i="8"/>
  <c r="L55" i="8"/>
  <c r="C55" i="8"/>
  <c r="B55" i="8"/>
  <c r="A55" i="10"/>
  <c r="B54" i="10"/>
  <c r="L54" i="10"/>
  <c r="S54" i="10"/>
  <c r="C54" i="10"/>
  <c r="B58" i="19" l="1"/>
  <c r="L58" i="19"/>
  <c r="R58" i="19" s="1"/>
  <c r="R60" i="19" s="1"/>
  <c r="N64" i="19" s="1"/>
  <c r="C58" i="19"/>
  <c r="K58" i="19" s="1"/>
  <c r="K60" i="19" s="1"/>
  <c r="G64" i="19" s="1"/>
  <c r="F71" i="19" s="1"/>
  <c r="I39" i="2"/>
  <c r="J39" i="2"/>
  <c r="H40" i="2" s="1"/>
  <c r="A56" i="10"/>
  <c r="B55" i="10"/>
  <c r="L55" i="10"/>
  <c r="C55" i="10"/>
  <c r="S55" i="10"/>
  <c r="A57" i="8"/>
  <c r="L56" i="8"/>
  <c r="C56" i="8"/>
  <c r="B56" i="8"/>
  <c r="N68" i="19" l="1"/>
  <c r="F72" i="19" s="1"/>
  <c r="I40" i="2"/>
  <c r="J40" i="2"/>
  <c r="H41" i="2" s="1"/>
  <c r="A57" i="10"/>
  <c r="B56" i="10"/>
  <c r="L56" i="10"/>
  <c r="C56" i="10"/>
  <c r="S56" i="10"/>
  <c r="A58" i="8"/>
  <c r="L57" i="8"/>
  <c r="C57" i="8"/>
  <c r="B57" i="8"/>
  <c r="I41" i="2" l="1"/>
  <c r="J41" i="2"/>
  <c r="H42" i="2" s="1"/>
  <c r="A58" i="10"/>
  <c r="B57" i="10"/>
  <c r="L57" i="10"/>
  <c r="S57" i="10"/>
  <c r="C57" i="10"/>
  <c r="L58" i="8"/>
  <c r="R58" i="8" s="1"/>
  <c r="R60" i="8" s="1"/>
  <c r="N64" i="8" s="1"/>
  <c r="C58" i="8"/>
  <c r="B58" i="8"/>
  <c r="I42" i="2" l="1"/>
  <c r="J42" i="2"/>
  <c r="H43" i="2" s="1"/>
  <c r="B58" i="10"/>
  <c r="C58" i="10"/>
  <c r="S58" i="10"/>
  <c r="L58" i="10"/>
  <c r="E4" i="9"/>
  <c r="K58" i="8"/>
  <c r="K60" i="8" s="1"/>
  <c r="G64" i="8" s="1"/>
  <c r="E1" i="12" s="1"/>
  <c r="E5" i="9"/>
  <c r="N68" i="8" l="1"/>
  <c r="E5" i="12" s="1"/>
  <c r="I43" i="2"/>
  <c r="J43" i="2"/>
  <c r="H44" i="2" s="1"/>
  <c r="E13" i="9"/>
  <c r="E12" i="9"/>
  <c r="J11" i="9"/>
  <c r="I44" i="2" l="1"/>
  <c r="J44" i="2"/>
  <c r="H45" i="2" s="1"/>
  <c r="E17" i="9"/>
  <c r="E14" i="9"/>
  <c r="E15" i="9" s="1"/>
  <c r="I45" i="2" l="1"/>
  <c r="J45" i="2"/>
  <c r="H46" i="2" s="1"/>
  <c r="E16" i="9"/>
  <c r="E18" i="9" s="1"/>
  <c r="F16" i="9"/>
  <c r="I46" i="2" l="1"/>
  <c r="J46" i="2"/>
  <c r="H47" i="2" s="1"/>
  <c r="E9" i="12"/>
  <c r="K4" i="10"/>
  <c r="F18" i="9"/>
  <c r="I47" i="2" l="1"/>
  <c r="J47" i="2"/>
  <c r="H48" i="2" s="1"/>
  <c r="E8" i="12"/>
  <c r="J4" i="10"/>
  <c r="Y58" i="10"/>
  <c r="Y60" i="10" s="1"/>
  <c r="K58" i="10"/>
  <c r="K60" i="10" s="1"/>
  <c r="R58" i="10"/>
  <c r="R60" i="10" s="1"/>
  <c r="R4" i="10"/>
  <c r="Y4" i="10" s="1"/>
  <c r="I48" i="2" l="1"/>
  <c r="J48" i="2"/>
  <c r="X28" i="10"/>
  <c r="X60" i="10" s="1"/>
  <c r="U64" i="10" s="1"/>
  <c r="J28" i="10"/>
  <c r="J60" i="10" s="1"/>
  <c r="G64" i="10" s="1"/>
  <c r="K72" i="10" s="1"/>
  <c r="Q4" i="10"/>
  <c r="X4" i="10" s="1"/>
  <c r="Q28" i="10"/>
  <c r="Q60" i="10" s="1"/>
  <c r="N64" i="10" s="1"/>
  <c r="U68" i="10" l="1"/>
  <c r="K76" i="10" s="1"/>
  <c r="N68" i="10"/>
  <c r="K74" i="10" s="1"/>
  <c r="K15" i="12" s="1"/>
  <c r="O15" i="12" s="1"/>
  <c r="H49" i="2"/>
  <c r="I49" i="2" s="1"/>
  <c r="O74" i="10"/>
  <c r="O76" i="10"/>
  <c r="K17" i="12"/>
  <c r="O17" i="12" s="1"/>
  <c r="K13" i="12"/>
  <c r="O13" i="12" s="1"/>
  <c r="O72" i="10"/>
  <c r="J49" i="2" l="1"/>
  <c r="H50" i="2" s="1"/>
  <c r="I50" i="2" l="1"/>
  <c r="H51" i="2" s="1"/>
  <c r="I51" i="2" s="1"/>
  <c r="J50" i="2"/>
  <c r="J51" i="2" l="1"/>
  <c r="H52" i="2" s="1"/>
  <c r="I52" i="2" l="1"/>
  <c r="H53" i="2" s="1"/>
  <c r="I53" i="2" s="1"/>
  <c r="H54" i="2" s="1"/>
  <c r="J52" i="2"/>
  <c r="J53" i="2"/>
  <c r="I54" i="2" l="1"/>
  <c r="J54" i="2"/>
  <c r="H55" i="2" l="1"/>
  <c r="I55" i="2" s="1"/>
  <c r="H56" i="2" s="1"/>
  <c r="J55" i="2"/>
  <c r="I56" i="2" l="1"/>
  <c r="J56" i="2"/>
  <c r="H57" i="2" l="1"/>
  <c r="I57" i="2" s="1"/>
  <c r="H58" i="2" s="1"/>
  <c r="J57" i="2"/>
  <c r="I58" i="2" l="1"/>
  <c r="J58" i="2"/>
  <c r="H59" i="2" l="1"/>
  <c r="I59" i="2"/>
  <c r="J59" i="2"/>
  <c r="H60" i="2" l="1"/>
  <c r="I60" i="2"/>
  <c r="J60" i="2"/>
  <c r="H61" i="2" l="1"/>
  <c r="I61" i="2"/>
  <c r="J61" i="2"/>
  <c r="H62" i="2" l="1"/>
  <c r="I62" i="2"/>
  <c r="J62" i="2"/>
  <c r="H63" i="2" l="1"/>
  <c r="I63" i="2"/>
  <c r="J63" i="2"/>
</calcChain>
</file>

<file path=xl/sharedStrings.xml><?xml version="1.0" encoding="utf-8"?>
<sst xmlns="http://schemas.openxmlformats.org/spreadsheetml/2006/main" count="536" uniqueCount="257">
  <si>
    <t>Mortality</t>
  </si>
  <si>
    <t>Ill-health</t>
  </si>
  <si>
    <t>Policy details</t>
  </si>
  <si>
    <t xml:space="preserve">Assumptions for part (iii) </t>
  </si>
  <si>
    <t>Age x</t>
  </si>
  <si>
    <r>
      <t>qx</t>
    </r>
    <r>
      <rPr>
        <b/>
        <vertAlign val="superscript"/>
        <sz val="10"/>
        <rFont val="Calibri"/>
        <family val="2"/>
        <scheme val="minor"/>
      </rPr>
      <t>d</t>
    </r>
  </si>
  <si>
    <r>
      <t>qx</t>
    </r>
    <r>
      <rPr>
        <b/>
        <vertAlign val="superscript"/>
        <sz val="11"/>
        <rFont val="Calibri"/>
        <family val="2"/>
        <scheme val="minor"/>
      </rPr>
      <t>i</t>
    </r>
  </si>
  <si>
    <t>Policy term</t>
  </si>
  <si>
    <t>20 years</t>
  </si>
  <si>
    <t>Policyholder age at inception</t>
  </si>
  <si>
    <t>52 exact</t>
  </si>
  <si>
    <t>Benefit on ill-health</t>
  </si>
  <si>
    <t>A level income of 50% of salary, payable annually in advance for a fixed term of 5 years (an annuity certain).</t>
  </si>
  <si>
    <t>Salary on entry</t>
  </si>
  <si>
    <t>$45000</t>
  </si>
  <si>
    <t>Salary increases</t>
  </si>
  <si>
    <t>3% pa, occuring on the anniversary of entry</t>
  </si>
  <si>
    <t>Benefit on death from the healthy state</t>
  </si>
  <si>
    <t>A lump sum of 4 times salary.</t>
  </si>
  <si>
    <t xml:space="preserve">Interest </t>
  </si>
  <si>
    <t>4.25% pa effective</t>
  </si>
  <si>
    <t>All benefits become payable at the end of the year that the decrement occurs, and are based on the policyholder's salary at the time of decrement.</t>
  </si>
  <si>
    <t>Premiums</t>
  </si>
  <si>
    <t>Payable annually in advance during the policy term, or until a decrement occurs, if earlier.  Premiums increase in line with the policyholder's salary.</t>
  </si>
  <si>
    <t>Initial commission</t>
  </si>
  <si>
    <t>30% of the initial premium, payable at the start of the policy.</t>
  </si>
  <si>
    <t>Renewal commission</t>
  </si>
  <si>
    <t>2.5% of the second and subsequent premiums.</t>
  </si>
  <si>
    <t>Initial expenses</t>
  </si>
  <si>
    <t>$400, payable at the start of the policy.</t>
  </si>
  <si>
    <t>Renewal expenses</t>
  </si>
  <si>
    <t>$100 payable annually in advance from the second year onwards.</t>
  </si>
  <si>
    <t>Claim expenses</t>
  </si>
  <si>
    <t>None.</t>
  </si>
  <si>
    <t>[1]</t>
  </si>
  <si>
    <t>[3]</t>
  </si>
  <si>
    <t>Age</t>
  </si>
  <si>
    <t>Mortality rate</t>
  </si>
  <si>
    <t>Probability of ill-health</t>
  </si>
  <si>
    <t>Independent force of mortality</t>
  </si>
  <si>
    <t>Independent force of ill-health</t>
  </si>
  <si>
    <t>Dependent probability of death</t>
  </si>
  <si>
    <t>Dependent probability of ill-health</t>
  </si>
  <si>
    <t>(al)_x</t>
  </si>
  <si>
    <t>(ad)_x_death</t>
  </si>
  <si>
    <t>(ad)_x_ill</t>
  </si>
  <si>
    <t>Probability</t>
  </si>
  <si>
    <t>[2]</t>
  </si>
  <si>
    <t>Alternative</t>
  </si>
  <si>
    <t>PV(death benefits)</t>
  </si>
  <si>
    <t>(aq)_x_death</t>
  </si>
  <si>
    <t>(aq)_x_ill</t>
  </si>
  <si>
    <t>Salary</t>
  </si>
  <si>
    <t>Expected death benefit payable (at end of year of decrement)</t>
  </si>
  <si>
    <t>5 year annuity due</t>
  </si>
  <si>
    <t>Expected ill-health benefit payable (PV at end of year of decrement)</t>
  </si>
  <si>
    <t>Discount factor for benefit</t>
  </si>
  <si>
    <t>Discount factor for premiums</t>
  </si>
  <si>
    <t>Premium payable</t>
  </si>
  <si>
    <t>PV(ill-health benefits)</t>
  </si>
  <si>
    <t>PV(premiums)</t>
  </si>
  <si>
    <t>PV (expenses)</t>
  </si>
  <si>
    <t>PV(commission)</t>
  </si>
  <si>
    <t>PV(premiums less benefits and expenses)</t>
  </si>
  <si>
    <t>Premium (percentage of salary)</t>
  </si>
  <si>
    <t>(Derived by goal seek)</t>
  </si>
  <si>
    <t>Starting salary</t>
  </si>
  <si>
    <t>Death benefit multiple</t>
  </si>
  <si>
    <t>Ill-health benefit percentage</t>
  </si>
  <si>
    <t>Discount rate</t>
  </si>
  <si>
    <t>Ill-health benefit term</t>
  </si>
  <si>
    <t>Probability of death in year</t>
  </si>
  <si>
    <t>Expected death cost</t>
  </si>
  <si>
    <t>Probability of ill-health in year</t>
  </si>
  <si>
    <t>Expected ill-health cost</t>
  </si>
  <si>
    <t xml:space="preserve">Premium </t>
  </si>
  <si>
    <t>Interest</t>
  </si>
  <si>
    <t>Cashflow</t>
  </si>
  <si>
    <t>Probability in force</t>
  </si>
  <si>
    <t>Discount factor</t>
  </si>
  <si>
    <t>NPV</t>
  </si>
  <si>
    <t>Present Value of Profit</t>
  </si>
  <si>
    <t>Premium/Salary</t>
  </si>
  <si>
    <t>Total PVP</t>
  </si>
  <si>
    <t>Initial Premium</t>
  </si>
  <si>
    <t>Derived by GOAL SEEK/SOLVER</t>
  </si>
  <si>
    <t>Premium expressed as a precentage of salary</t>
  </si>
  <si>
    <t>Interest rate = RDR</t>
  </si>
  <si>
    <t>Annuity</t>
  </si>
  <si>
    <t>(i)</t>
  </si>
  <si>
    <t>see tab for multiple decrement table</t>
  </si>
  <si>
    <t>(ii)</t>
  </si>
  <si>
    <t>(iii)</t>
  </si>
  <si>
    <t>qx</t>
  </si>
  <si>
    <t>Annual effective interest rate</t>
  </si>
  <si>
    <t>per annum</t>
  </si>
  <si>
    <t>You should ignore tax</t>
  </si>
  <si>
    <t>Assets held</t>
  </si>
  <si>
    <t>Asset A</t>
  </si>
  <si>
    <t>$55,000 nominal of a fixed interest bond with outstanding term of 20 years.</t>
  </si>
  <si>
    <t>Asset A is redeemable at $105 per $100 nominal.</t>
  </si>
  <si>
    <t>It pays coupons of 1% per annum half-yearly in arrears.</t>
  </si>
  <si>
    <t>The next coupon payment is due in exactly 6 months time.</t>
  </si>
  <si>
    <t>Asset B</t>
  </si>
  <si>
    <t>A zero-coupon bond paying $300,000 in exactly 10 years time.</t>
  </si>
  <si>
    <t>Asset C</t>
  </si>
  <si>
    <t>A zero-coupon bond paying $1,202,946 in exactly 25 years time.</t>
  </si>
  <si>
    <r>
      <rPr>
        <sz val="11"/>
        <color indexed="2"/>
        <rFont val="Calibri"/>
        <family val="2"/>
      </rPr>
      <t>1 mark for calculating v</t>
    </r>
    <r>
      <rPr>
        <vertAlign val="superscript"/>
        <sz val="9"/>
        <color indexed="2"/>
        <rFont val="Calibri"/>
        <family val="2"/>
      </rPr>
      <t>t+1</t>
    </r>
  </si>
  <si>
    <t>Present Values</t>
  </si>
  <si>
    <t>Volatility</t>
  </si>
  <si>
    <t>6 marks for updating the calculations to include t and the new v term</t>
  </si>
  <si>
    <t>Endowment Assurance</t>
  </si>
  <si>
    <t>SA</t>
  </si>
  <si>
    <t>Time</t>
  </si>
  <si>
    <t>vt</t>
  </si>
  <si>
    <t>q(x-1)</t>
  </si>
  <si>
    <t>(t-1)p30</t>
  </si>
  <si>
    <t>vt+1</t>
  </si>
  <si>
    <t>Total</t>
  </si>
  <si>
    <t>Total Liabilities</t>
  </si>
  <si>
    <t>Total for Liab</t>
  </si>
  <si>
    <t>Total Assets</t>
  </si>
  <si>
    <t>Total for Assets</t>
  </si>
  <si>
    <t>Volatility for Liab</t>
  </si>
  <si>
    <t>Volatility for Assets</t>
  </si>
  <si>
    <t>Liabilities</t>
  </si>
  <si>
    <t>Asset B per £1 nominal</t>
  </si>
  <si>
    <t>Asset C per £1 nominal</t>
  </si>
  <si>
    <t>Liab-Asset A</t>
  </si>
  <si>
    <t>PV</t>
  </si>
  <si>
    <t>PV Liab=PV A + BxD4 + CxE4</t>
  </si>
  <si>
    <t>Solve for B and C</t>
  </si>
  <si>
    <t>Vol Liab= Vol A + BxD5 + CxE5</t>
  </si>
  <si>
    <t>Alternative Methods</t>
  </si>
  <si>
    <t>Holding of</t>
  </si>
  <si>
    <t>Value</t>
  </si>
  <si>
    <t>B</t>
  </si>
  <si>
    <t>C</t>
  </si>
  <si>
    <t>Redington's first condition</t>
  </si>
  <si>
    <t>Redington's second condition</t>
  </si>
  <si>
    <t>Convexity</t>
  </si>
  <si>
    <t>Redington's third condition</t>
  </si>
  <si>
    <t>vt+2</t>
  </si>
  <si>
    <t>Convexity for Liab</t>
  </si>
  <si>
    <t>Convexity for Assets</t>
  </si>
  <si>
    <t>Redington's conditions for immunisation require</t>
  </si>
  <si>
    <t>After rebalancing the asset portfolio</t>
  </si>
  <si>
    <t>PV assets (at i%) = PV liabilities (at i%)</t>
  </si>
  <si>
    <t>Present Value</t>
  </si>
  <si>
    <t>Assets</t>
  </si>
  <si>
    <t>Volatility of assets (at i%) = Volaility of liabilities (at i%)</t>
  </si>
  <si>
    <t>Convexity of assets (at i%) &gt; Convexity of liabilities (at i%)</t>
  </si>
  <si>
    <t>As each of the three Redington conditions are met then we conclude that the portfolio is immunised againt small movements in the rate of interest.</t>
  </si>
  <si>
    <t>A small decrease in interest rates will mean that the present value of both assets and liabilities will rise.</t>
  </si>
  <si>
    <t>As the convexity of the assets is greater than that of the liabilities, then the value of assets will rise by more than the value of the liabilites.</t>
  </si>
  <si>
    <t>There is a greater positive contribution from the convexity term in the present value of the assets than that of the present value of the liabilities</t>
  </si>
  <si>
    <t>The above only holds for a small reduction in interest rates.</t>
  </si>
  <si>
    <t>Present Value of Assets</t>
  </si>
  <si>
    <t>Present Value of Liabilities</t>
  </si>
  <si>
    <t>Volatility of Assets</t>
  </si>
  <si>
    <t>Volatility of Liabilities</t>
  </si>
  <si>
    <t>(iii)(a)</t>
  </si>
  <si>
    <t>New nominal holding of asset B</t>
  </si>
  <si>
    <t>New nominal holding of asset C</t>
  </si>
  <si>
    <t>(iii)(b)</t>
  </si>
  <si>
    <t>(iv)</t>
  </si>
  <si>
    <t>Project A</t>
  </si>
  <si>
    <t>Objective:</t>
  </si>
  <si>
    <t>Streamline finance processes, resulting in cost benefits through a reduction in finance staff.</t>
  </si>
  <si>
    <t>This is a 10 year project with costs and savings considered over a 10 year time period.</t>
  </si>
  <si>
    <t>Costs (in $)</t>
  </si>
  <si>
    <t xml:space="preserve">In year 1, </t>
  </si>
  <si>
    <t>for implementation, set-up and testing.</t>
  </si>
  <si>
    <t>From year 2 onwards</t>
  </si>
  <si>
    <t>Annual maintenance costs which are fixed for the duration of the project.</t>
  </si>
  <si>
    <t>Savings (in $)</t>
  </si>
  <si>
    <t>p.a. of staff savings, realised each year going forward. These savings increase by</t>
  </si>
  <si>
    <t>each year through contractual staff salary increases, starting from year 3.</t>
  </si>
  <si>
    <t>From year 3 onwards</t>
  </si>
  <si>
    <t>p.a. of additional staff savings, realised each year going forward.  These savings increase by</t>
  </si>
  <si>
    <t>each year through contractual staff salary increases, starting from year 4.</t>
  </si>
  <si>
    <t>Assumptions</t>
  </si>
  <si>
    <t>Cashflows occur halfway through the year.</t>
  </si>
  <si>
    <t>Project B</t>
  </si>
  <si>
    <t>The development, by IT experts within the business, of a new finance administration system.</t>
  </si>
  <si>
    <t>This is a 15 year project with costs and savings considered over a 15 year time period.</t>
  </si>
  <si>
    <t>Currently, the company uses a finance administration system provided by a third party provider.</t>
  </si>
  <si>
    <t xml:space="preserve">The company pays an annual fee of </t>
  </si>
  <si>
    <t xml:space="preserve"> to the third  party provider for the use and maintenance of the external  finance administration system.</t>
  </si>
  <si>
    <t>The annual payment to the external provider increases by</t>
  </si>
  <si>
    <t xml:space="preserve">The project will enable this external system to be switched off at the end of 2 years. </t>
  </si>
  <si>
    <t>The company will then save the increasing annual fee that was expected to be paid over the remaining 13 years.</t>
  </si>
  <si>
    <t>project costs for IT set-up.</t>
  </si>
  <si>
    <t>In year 2,</t>
  </si>
  <si>
    <t>project costs including staff training.</t>
  </si>
  <si>
    <t>p.a. fixed maintenance costs each year going forward.</t>
  </si>
  <si>
    <t xml:space="preserve">Assumptions </t>
  </si>
  <si>
    <t>Years</t>
  </si>
  <si>
    <t>Discount Factor</t>
  </si>
  <si>
    <t>Project 
Costs</t>
  </si>
  <si>
    <t>Maintenance Costs</t>
  </si>
  <si>
    <t>Staff 
Savings_1</t>
  </si>
  <si>
    <t>Staff 
Savings_2</t>
  </si>
  <si>
    <t>Profit Signature</t>
  </si>
  <si>
    <t>Savings  from External Administration</t>
  </si>
  <si>
    <t>Project Costs</t>
  </si>
  <si>
    <t xml:space="preserve"> Maintenance Costs</t>
  </si>
  <si>
    <t>Breakdown of Marks</t>
  </si>
  <si>
    <t>DF calculation</t>
  </si>
  <si>
    <t>DF calculated half-yearly</t>
  </si>
  <si>
    <t>Project A - Project cost</t>
  </si>
  <si>
    <t>Project A - Maintenance cost</t>
  </si>
  <si>
    <t>Project A - Staff Savings 1</t>
  </si>
  <si>
    <t>Project A - Staff Savings 2</t>
  </si>
  <si>
    <t>Project A - Profit Signature</t>
  </si>
  <si>
    <t>Any NPV calculation</t>
  </si>
  <si>
    <t>Project B - savings from external system</t>
  </si>
  <si>
    <t>Project B - outflows</t>
  </si>
  <si>
    <t>Project B - profit signature</t>
  </si>
  <si>
    <t>Second NPV calculation</t>
  </si>
  <si>
    <t>TOTAL</t>
  </si>
  <si>
    <t>Project A as this offers a higher NPV than Project B</t>
  </si>
  <si>
    <t>NPV is only slightly higher in Project A than Project B</t>
  </si>
  <si>
    <t>Project B more palatable as no staff redundancies</t>
  </si>
  <si>
    <t>Project B requires a smaller investment</t>
  </si>
  <si>
    <t>… which is helpful from a liquidity perspective</t>
  </si>
  <si>
    <t>FD could have doubts about some of the costs / benefits of Project A or B</t>
  </si>
  <si>
    <t>Other reasonable considerations, 2 for each main point</t>
  </si>
  <si>
    <t>Max [6]</t>
  </si>
  <si>
    <t>Project</t>
  </si>
  <si>
    <t>A</t>
  </si>
  <si>
    <t>See separate sheet.</t>
  </si>
  <si>
    <t>compound each year and the next increase is due in one year's time.</t>
  </si>
  <si>
    <t>[Max 4]</t>
  </si>
  <si>
    <r>
      <t xml:space="preserve">Probability of death </t>
    </r>
    <r>
      <rPr>
        <b/>
        <vertAlign val="subscript"/>
        <sz val="11"/>
        <color theme="1"/>
        <rFont val="Calibri"/>
        <family val="2"/>
        <scheme val="minor"/>
      </rPr>
      <t>t-1|</t>
    </r>
    <r>
      <rPr>
        <b/>
        <sz val="11"/>
        <color theme="1"/>
        <rFont val="Calibri"/>
        <family val="2"/>
        <scheme val="minor"/>
      </rPr>
      <t>q</t>
    </r>
    <r>
      <rPr>
        <b/>
        <vertAlign val="subscript"/>
        <sz val="11"/>
        <color theme="1"/>
        <rFont val="Calibri"/>
        <family val="2"/>
        <scheme val="minor"/>
      </rPr>
      <t>52</t>
    </r>
  </si>
  <si>
    <r>
      <t xml:space="preserve">Probability of ill-health </t>
    </r>
    <r>
      <rPr>
        <b/>
        <vertAlign val="subscript"/>
        <sz val="11"/>
        <color theme="1"/>
        <rFont val="Calibri"/>
        <family val="2"/>
        <scheme val="minor"/>
      </rPr>
      <t>t-1|</t>
    </r>
    <r>
      <rPr>
        <b/>
        <sz val="11"/>
        <color theme="1"/>
        <rFont val="Calibri"/>
        <family val="2"/>
        <scheme val="minor"/>
      </rPr>
      <t>q</t>
    </r>
    <r>
      <rPr>
        <b/>
        <vertAlign val="subscript"/>
        <sz val="11"/>
        <color theme="1"/>
        <rFont val="Calibri"/>
        <family val="2"/>
        <scheme val="minor"/>
      </rPr>
      <t>52</t>
    </r>
  </si>
  <si>
    <t>Prob IF at start of year only for P,com and exp</t>
  </si>
  <si>
    <t>PV Assets - PV liabilities</t>
  </si>
  <si>
    <t>Volatility of Assets - Volatility of Liabilities</t>
  </si>
  <si>
    <t>i.e. Vol of assets= Vol of liabilities</t>
  </si>
  <si>
    <t>i.e. PV assets = PV liabilities</t>
  </si>
  <si>
    <t>Use solver to set cell f27 = 0 by changing cells j4 and k4</t>
  </si>
  <si>
    <t>subject to the constraint that cell f71 =0</t>
  </si>
  <si>
    <t>(or equivalent)</t>
  </si>
  <si>
    <t>On death</t>
  </si>
  <si>
    <t>On survival</t>
  </si>
  <si>
    <t>of Redemption</t>
  </si>
  <si>
    <t xml:space="preserve">Present Values </t>
  </si>
  <si>
    <t xml:space="preserve">1st Differential </t>
  </si>
  <si>
    <t xml:space="preserve">2nd Differential </t>
  </si>
  <si>
    <t>of Coupon</t>
  </si>
  <si>
    <t>PV Project 
Costs</t>
  </si>
  <si>
    <t>PV Maintenance Costs</t>
  </si>
  <si>
    <t>PV Staff 
Savings_1</t>
  </si>
  <si>
    <t>PV Staff 
Savings_2</t>
  </si>
  <si>
    <t>PV Savings  from External Administration</t>
  </si>
  <si>
    <t>PV Project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</si>
</sst>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£&quot;#,##0;[Red]\-&quot;£&quot;#,##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.000000"/>
    <numFmt numFmtId="165" formatCode="###\ ##0"/>
    <numFmt numFmtId="166" formatCode="0.00000000"/>
    <numFmt numFmtId="167" formatCode="#,##0.00000"/>
    <numFmt numFmtId="168" formatCode="0.00000000000000"/>
    <numFmt numFmtId="169" formatCode="#,##0.0"/>
    <numFmt numFmtId="170" formatCode="0.0%"/>
    <numFmt numFmtId="171" formatCode="0.000000"/>
    <numFmt numFmtId="172" formatCode="_-* #,##0_-;\-* #,##0_-;_-* &quot;-&quot;??_-;_-@_-"/>
    <numFmt numFmtId="173" formatCode="#,##0.00000000"/>
    <numFmt numFmtId="174" formatCode="#,##0.0000000"/>
  </numFmts>
  <fonts count="2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2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indexed="2"/>
      <name val="Calibri"/>
      <family val="2"/>
    </font>
    <font>
      <sz val="11"/>
      <color indexed="2"/>
      <name val="Calibri"/>
      <family val="2"/>
      <scheme val="minor"/>
    </font>
    <font>
      <sz val="10"/>
      <name val="Tahoma"/>
      <family val="2"/>
    </font>
    <font>
      <sz val="11"/>
      <name val="Calibri"/>
      <family val="2"/>
    </font>
    <font>
      <b/>
      <sz val="8"/>
      <name val="Tahoma"/>
      <family val="2"/>
    </font>
    <font>
      <b/>
      <sz val="10"/>
      <color indexed="2"/>
      <name val="Tahoma"/>
      <family val="2"/>
    </font>
    <font>
      <sz val="10"/>
      <color indexed="2"/>
      <name val="Tahoma"/>
      <family val="2"/>
    </font>
    <font>
      <b/>
      <sz val="8"/>
      <color indexed="2"/>
      <name val="Tahoma"/>
      <family val="2"/>
    </font>
    <font>
      <b/>
      <sz val="8"/>
      <color theme="1"/>
      <name val="Tahoma"/>
      <family val="2"/>
    </font>
    <font>
      <sz val="11"/>
      <color theme="1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vertAlign val="superscript"/>
      <sz val="9"/>
      <color indexed="2"/>
      <name val="Calibri"/>
      <family val="2"/>
    </font>
    <font>
      <b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2" tint="-0.24997711111789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theme="2" tint="-0.24997711111789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8" fillId="0" borderId="0"/>
    <xf numFmtId="43" fontId="3" fillId="0" borderId="0"/>
    <xf numFmtId="43" fontId="18" fillId="0" borderId="0"/>
    <xf numFmtId="44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9" fontId="18" fillId="0" borderId="0"/>
    <xf numFmtId="9" fontId="3" fillId="0" borderId="0"/>
  </cellStyleXfs>
  <cellXfs count="419">
    <xf numFmtId="0" fontId="0" fillId="0" borderId="0" xfId="0"/>
    <xf numFmtId="0" fontId="4" fillId="0" borderId="0" xfId="0" applyFont="1"/>
    <xf numFmtId="0" fontId="4" fillId="2" borderId="1" xfId="0" applyFont="1" applyFill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9" xfId="0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0" fontId="4" fillId="0" borderId="10" xfId="0" applyFont="1" applyBorder="1"/>
    <xf numFmtId="0" fontId="0" fillId="0" borderId="11" xfId="0" applyBorder="1" applyAlignment="1">
      <alignment horizontal="left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6" fillId="0" borderId="14" xfId="0" applyFont="1" applyBorder="1" applyAlignment="1">
      <alignment horizontal="center"/>
    </xf>
    <xf numFmtId="165" fontId="6" fillId="0" borderId="0" xfId="0" applyNumberFormat="1" applyFont="1"/>
    <xf numFmtId="166" fontId="0" fillId="0" borderId="15" xfId="0" applyNumberFormat="1" applyBorder="1" applyAlignment="1">
      <alignment horizontal="center"/>
    </xf>
    <xf numFmtId="166" fontId="0" fillId="0" borderId="0" xfId="0" applyNumberFormat="1"/>
    <xf numFmtId="0" fontId="4" fillId="0" borderId="16" xfId="0" applyFont="1" applyBorder="1"/>
    <xf numFmtId="6" fontId="0" fillId="0" borderId="17" xfId="0" applyNumberFormat="1" applyBorder="1" applyAlignment="1">
      <alignment horizontal="center"/>
    </xf>
    <xf numFmtId="0" fontId="6" fillId="0" borderId="18" xfId="0" applyFont="1" applyBorder="1" applyAlignment="1">
      <alignment horizontal="center"/>
    </xf>
    <xf numFmtId="166" fontId="0" fillId="0" borderId="19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0" borderId="20" xfId="0" applyFont="1" applyBorder="1"/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3" xfId="0" applyBorder="1"/>
    <xf numFmtId="0" fontId="0" fillId="0" borderId="21" xfId="0" applyBorder="1"/>
    <xf numFmtId="0" fontId="0" fillId="0" borderId="17" xfId="0" applyBorder="1"/>
    <xf numFmtId="166" fontId="0" fillId="0" borderId="24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4" fontId="4" fillId="0" borderId="27" xfId="0" applyNumberFormat="1" applyFont="1" applyBorder="1" applyAlignment="1">
      <alignment horizontal="center"/>
    </xf>
    <xf numFmtId="4" fontId="4" fillId="0" borderId="26" xfId="0" applyNumberFormat="1" applyFont="1" applyBorder="1" applyAlignment="1">
      <alignment horizontal="center"/>
    </xf>
    <xf numFmtId="4" fontId="4" fillId="0" borderId="28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7" xfId="0" applyBorder="1" applyAlignment="1">
      <alignment horizontal="center"/>
    </xf>
    <xf numFmtId="166" fontId="0" fillId="0" borderId="30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8" xfId="0" applyBorder="1" applyAlignment="1">
      <alignment horizontal="center"/>
    </xf>
    <xf numFmtId="4" fontId="0" fillId="3" borderId="5" xfId="0" applyNumberFormat="1" applyFill="1" applyBorder="1" applyAlignment="1">
      <alignment horizontal="center"/>
    </xf>
    <xf numFmtId="4" fontId="0" fillId="0" borderId="31" xfId="0" applyNumberFormat="1" applyBorder="1" applyAlignment="1">
      <alignment horizontal="center"/>
    </xf>
    <xf numFmtId="167" fontId="0" fillId="0" borderId="0" xfId="0" applyNumberFormat="1"/>
    <xf numFmtId="0" fontId="0" fillId="0" borderId="5" xfId="0" applyBorder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6" xfId="0" applyBorder="1" applyAlignment="1">
      <alignment horizontal="center"/>
    </xf>
    <xf numFmtId="4" fontId="0" fillId="0" borderId="5" xfId="0" applyNumberForma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166" fontId="0" fillId="0" borderId="34" xfId="0" applyNumberFormat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4" fontId="0" fillId="0" borderId="33" xfId="0" applyNumberFormat="1" applyBorder="1" applyAlignment="1">
      <alignment horizontal="center"/>
    </xf>
    <xf numFmtId="4" fontId="0" fillId="0" borderId="34" xfId="0" applyNumberFormat="1" applyBorder="1" applyAlignment="1">
      <alignment horizontal="center"/>
    </xf>
    <xf numFmtId="4" fontId="0" fillId="0" borderId="36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0" fontId="5" fillId="0" borderId="7" xfId="0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0" fontId="5" fillId="0" borderId="1" xfId="0" applyFont="1" applyBorder="1" applyAlignment="1">
      <alignment horizontal="center"/>
    </xf>
    <xf numFmtId="169" fontId="0" fillId="0" borderId="8" xfId="0" applyNumberFormat="1" applyBorder="1" applyAlignment="1">
      <alignment horizontal="center"/>
    </xf>
    <xf numFmtId="169" fontId="4" fillId="0" borderId="7" xfId="0" applyNumberFormat="1" applyFont="1" applyBorder="1" applyAlignment="1">
      <alignment horizontal="center"/>
    </xf>
    <xf numFmtId="170" fontId="18" fillId="0" borderId="8" xfId="9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0" fontId="5" fillId="0" borderId="5" xfId="0" applyFon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0" fontId="5" fillId="0" borderId="4" xfId="0" applyFont="1" applyBorder="1" applyAlignment="1">
      <alignment horizontal="center"/>
    </xf>
    <xf numFmtId="9" fontId="0" fillId="0" borderId="6" xfId="0" applyNumberFormat="1" applyBorder="1" applyAlignment="1">
      <alignment horizontal="center"/>
    </xf>
    <xf numFmtId="9" fontId="4" fillId="0" borderId="5" xfId="0" applyNumberFormat="1" applyFont="1" applyBorder="1" applyAlignment="1">
      <alignment horizontal="center"/>
    </xf>
    <xf numFmtId="170" fontId="18" fillId="0" borderId="6" xfId="9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0" fontId="5" fillId="0" borderId="40" xfId="0" applyFont="1" applyBorder="1" applyAlignment="1">
      <alignment horizontal="center"/>
    </xf>
    <xf numFmtId="10" fontId="0" fillId="0" borderId="38" xfId="0" applyNumberFormat="1" applyBorder="1" applyAlignment="1">
      <alignment horizontal="center"/>
    </xf>
    <xf numFmtId="10" fontId="0" fillId="0" borderId="0" xfId="0" applyNumberFormat="1" applyAlignment="1">
      <alignment horizontal="center"/>
    </xf>
    <xf numFmtId="0" fontId="5" fillId="0" borderId="38" xfId="0" applyFont="1" applyBorder="1" applyAlignment="1">
      <alignment horizontal="center"/>
    </xf>
    <xf numFmtId="169" fontId="0" fillId="0" borderId="39" xfId="0" applyNumberFormat="1" applyBorder="1" applyAlignment="1">
      <alignment horizontal="center"/>
    </xf>
    <xf numFmtId="169" fontId="4" fillId="0" borderId="40" xfId="0" applyNumberFormat="1" applyFont="1" applyBorder="1" applyAlignment="1">
      <alignment horizontal="center"/>
    </xf>
    <xf numFmtId="1" fontId="0" fillId="0" borderId="39" xfId="0" applyNumberFormat="1" applyBorder="1" applyAlignment="1">
      <alignment horizontal="center"/>
    </xf>
    <xf numFmtId="10" fontId="0" fillId="0" borderId="0" xfId="0" applyNumberFormat="1"/>
    <xf numFmtId="0" fontId="0" fillId="0" borderId="0" xfId="0" applyAlignment="1">
      <alignment wrapText="1"/>
    </xf>
    <xf numFmtId="10" fontId="18" fillId="0" borderId="0" xfId="9" applyNumberFormat="1"/>
    <xf numFmtId="43" fontId="18" fillId="0" borderId="0" xfId="1"/>
    <xf numFmtId="0" fontId="5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3" fontId="8" fillId="0" borderId="1" xfId="0" applyNumberFormat="1" applyFont="1" applyBorder="1" applyAlignment="1">
      <alignment horizontal="center"/>
    </xf>
    <xf numFmtId="169" fontId="4" fillId="0" borderId="7" xfId="0" applyNumberFormat="1" applyFont="1" applyBorder="1" applyAlignment="1">
      <alignment horizontal="center" wrapText="1"/>
    </xf>
    <xf numFmtId="170" fontId="8" fillId="0" borderId="8" xfId="9" applyNumberFormat="1" applyFont="1" applyBorder="1" applyAlignment="1">
      <alignment horizontal="center"/>
    </xf>
    <xf numFmtId="1" fontId="8" fillId="0" borderId="30" xfId="0" applyNumberFormat="1" applyFont="1" applyBorder="1" applyAlignment="1">
      <alignment horizontal="center"/>
    </xf>
    <xf numFmtId="169" fontId="8" fillId="0" borderId="1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9" fontId="8" fillId="0" borderId="4" xfId="0" applyNumberFormat="1" applyFont="1" applyBorder="1" applyAlignment="1">
      <alignment horizontal="center"/>
    </xf>
    <xf numFmtId="9" fontId="4" fillId="0" borderId="5" xfId="0" applyNumberFormat="1" applyFont="1" applyBorder="1" applyAlignment="1">
      <alignment horizontal="center" wrapText="1"/>
    </xf>
    <xf numFmtId="170" fontId="8" fillId="0" borderId="6" xfId="9" applyNumberFormat="1" applyFont="1" applyBorder="1" applyAlignment="1">
      <alignment horizontal="center"/>
    </xf>
    <xf numFmtId="1" fontId="8" fillId="0" borderId="0" xfId="0" applyNumberFormat="1" applyFont="1" applyAlignment="1">
      <alignment horizontal="center"/>
    </xf>
    <xf numFmtId="0" fontId="5" fillId="0" borderId="38" xfId="0" applyFont="1" applyBorder="1" applyAlignment="1">
      <alignment horizontal="center" wrapText="1"/>
    </xf>
    <xf numFmtId="10" fontId="8" fillId="0" borderId="38" xfId="0" applyNumberFormat="1" applyFont="1" applyBorder="1" applyAlignment="1">
      <alignment horizontal="center"/>
    </xf>
    <xf numFmtId="1" fontId="0" fillId="0" borderId="41" xfId="0" applyNumberFormat="1" applyBorder="1" applyAlignment="1">
      <alignment horizontal="center"/>
    </xf>
    <xf numFmtId="169" fontId="8" fillId="0" borderId="4" xfId="0" applyNumberFormat="1" applyFont="1" applyBorder="1" applyAlignment="1">
      <alignment horizontal="center"/>
    </xf>
    <xf numFmtId="171" fontId="0" fillId="0" borderId="0" xfId="0" applyNumberFormat="1" applyAlignment="1">
      <alignment horizontal="center"/>
    </xf>
    <xf numFmtId="9" fontId="0" fillId="0" borderId="0" xfId="0" applyNumberFormat="1"/>
    <xf numFmtId="0" fontId="18" fillId="0" borderId="0" xfId="7"/>
    <xf numFmtId="0" fontId="7" fillId="0" borderId="0" xfId="7" applyFont="1"/>
    <xf numFmtId="0" fontId="7" fillId="0" borderId="0" xfId="7" applyFont="1" applyAlignment="1">
      <alignment horizontal="center"/>
    </xf>
    <xf numFmtId="0" fontId="9" fillId="0" borderId="0" xfId="7" applyFont="1" applyAlignment="1">
      <alignment vertical="center"/>
    </xf>
    <xf numFmtId="0" fontId="18" fillId="0" borderId="42" xfId="7" applyBorder="1"/>
    <xf numFmtId="0" fontId="18" fillId="0" borderId="43" xfId="7" applyBorder="1"/>
    <xf numFmtId="0" fontId="18" fillId="0" borderId="44" xfId="7" applyBorder="1"/>
    <xf numFmtId="0" fontId="9" fillId="0" borderId="0" xfId="7" applyFont="1"/>
    <xf numFmtId="0" fontId="18" fillId="0" borderId="0" xfId="7" applyAlignment="1">
      <alignment horizontal="center"/>
    </xf>
    <xf numFmtId="9" fontId="18" fillId="0" borderId="0" xfId="7" applyNumberFormat="1"/>
    <xf numFmtId="0" fontId="18" fillId="0" borderId="46" xfId="7" applyBorder="1"/>
    <xf numFmtId="0" fontId="18" fillId="0" borderId="45" xfId="7" applyBorder="1"/>
    <xf numFmtId="0" fontId="18" fillId="0" borderId="45" xfId="7" applyBorder="1" applyAlignment="1">
      <alignment horizontal="right"/>
    </xf>
    <xf numFmtId="172" fontId="18" fillId="0" borderId="0" xfId="3" applyNumberFormat="1"/>
    <xf numFmtId="43" fontId="18" fillId="0" borderId="0" xfId="3"/>
    <xf numFmtId="43" fontId="18" fillId="0" borderId="46" xfId="3" applyBorder="1"/>
    <xf numFmtId="0" fontId="18" fillId="0" borderId="0" xfId="7" applyAlignment="1">
      <alignment horizontal="right"/>
    </xf>
    <xf numFmtId="43" fontId="18" fillId="0" borderId="45" xfId="3" applyBorder="1"/>
    <xf numFmtId="0" fontId="18" fillId="0" borderId="0" xfId="7" quotePrefix="1"/>
    <xf numFmtId="43" fontId="18" fillId="0" borderId="45" xfId="7" applyNumberFormat="1" applyBorder="1"/>
    <xf numFmtId="43" fontId="18" fillId="0" borderId="0" xfId="7" applyNumberFormat="1"/>
    <xf numFmtId="43" fontId="18" fillId="0" borderId="46" xfId="7" applyNumberFormat="1" applyBorder="1"/>
    <xf numFmtId="0" fontId="18" fillId="0" borderId="47" xfId="7" applyBorder="1"/>
    <xf numFmtId="0" fontId="18" fillId="0" borderId="48" xfId="7" applyBorder="1"/>
    <xf numFmtId="0" fontId="18" fillId="0" borderId="49" xfId="7" applyBorder="1"/>
    <xf numFmtId="0" fontId="18" fillId="0" borderId="48" xfId="7" applyBorder="1" applyAlignment="1">
      <alignment horizontal="right"/>
    </xf>
    <xf numFmtId="43" fontId="18" fillId="0" borderId="48" xfId="7" applyNumberFormat="1" applyBorder="1"/>
    <xf numFmtId="0" fontId="7" fillId="0" borderId="48" xfId="7" applyFont="1" applyBorder="1" applyAlignment="1">
      <alignment horizontal="center"/>
    </xf>
    <xf numFmtId="0" fontId="18" fillId="0" borderId="0" xfId="7" applyAlignment="1">
      <alignment wrapText="1"/>
    </xf>
    <xf numFmtId="0" fontId="4" fillId="0" borderId="0" xfId="7" applyFont="1" applyAlignment="1">
      <alignment horizontal="center"/>
    </xf>
    <xf numFmtId="0" fontId="4" fillId="0" borderId="0" xfId="7" applyFont="1"/>
    <xf numFmtId="43" fontId="4" fillId="0" borderId="0" xfId="7" applyNumberFormat="1" applyFont="1"/>
    <xf numFmtId="0" fontId="10" fillId="0" borderId="0" xfId="7" applyFont="1"/>
    <xf numFmtId="0" fontId="6" fillId="0" borderId="0" xfId="0" applyFont="1"/>
    <xf numFmtId="0" fontId="11" fillId="4" borderId="18" xfId="0" applyFont="1" applyFill="1" applyBorder="1" applyAlignment="1">
      <alignment horizontal="center" vertical="center"/>
    </xf>
    <xf numFmtId="172" fontId="5" fillId="0" borderId="0" xfId="1" applyNumberFormat="1" applyFont="1"/>
    <xf numFmtId="172" fontId="6" fillId="0" borderId="0" xfId="1" applyNumberFormat="1" applyFont="1"/>
    <xf numFmtId="10" fontId="5" fillId="0" borderId="0" xfId="0" applyNumberFormat="1" applyFont="1"/>
    <xf numFmtId="0" fontId="10" fillId="0" borderId="0" xfId="0" applyFont="1"/>
    <xf numFmtId="3" fontId="4" fillId="0" borderId="0" xfId="0" applyNumberFormat="1" applyFont="1"/>
    <xf numFmtId="9" fontId="4" fillId="0" borderId="0" xfId="0" applyNumberFormat="1" applyFont="1"/>
    <xf numFmtId="0" fontId="12" fillId="0" borderId="0" xfId="0" applyFont="1"/>
    <xf numFmtId="172" fontId="4" fillId="0" borderId="0" xfId="1" applyNumberFormat="1" applyFont="1"/>
    <xf numFmtId="3" fontId="0" fillId="0" borderId="0" xfId="0" applyNumberFormat="1"/>
    <xf numFmtId="0" fontId="13" fillId="4" borderId="50" xfId="0" applyFont="1" applyFill="1" applyBorder="1" applyAlignment="1">
      <alignment vertical="center"/>
    </xf>
    <xf numFmtId="0" fontId="13" fillId="4" borderId="51" xfId="0" applyFont="1" applyFill="1" applyBorder="1" applyAlignment="1">
      <alignment vertical="center"/>
    </xf>
    <xf numFmtId="0" fontId="13" fillId="4" borderId="52" xfId="0" applyFont="1" applyFill="1" applyBorder="1" applyAlignment="1">
      <alignment vertical="center"/>
    </xf>
    <xf numFmtId="0" fontId="11" fillId="4" borderId="18" xfId="0" applyFont="1" applyFill="1" applyBorder="1" applyAlignment="1">
      <alignment horizontal="center" vertical="center" wrapText="1"/>
    </xf>
    <xf numFmtId="0" fontId="14" fillId="5" borderId="0" xfId="0" applyFont="1" applyFill="1"/>
    <xf numFmtId="0" fontId="15" fillId="5" borderId="0" xfId="0" applyFont="1" applyFill="1"/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 applyAlignment="1">
      <alignment horizontal="center"/>
    </xf>
    <xf numFmtId="0" fontId="2" fillId="0" borderId="0" xfId="0" applyFont="1"/>
    <xf numFmtId="0" fontId="22" fillId="0" borderId="0" xfId="7" applyFont="1"/>
    <xf numFmtId="171" fontId="0" fillId="0" borderId="9" xfId="0" applyNumberFormat="1" applyBorder="1" applyAlignment="1">
      <alignment horizontal="center"/>
    </xf>
    <xf numFmtId="0" fontId="0" fillId="6" borderId="0" xfId="0" applyFill="1"/>
    <xf numFmtId="4" fontId="0" fillId="6" borderId="0" xfId="0" applyNumberForma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4" fontId="4" fillId="6" borderId="30" xfId="0" applyNumberFormat="1" applyFont="1" applyFill="1" applyBorder="1" applyAlignment="1">
      <alignment horizontal="center" wrapText="1"/>
    </xf>
    <xf numFmtId="4" fontId="0" fillId="6" borderId="5" xfId="0" applyNumberFormat="1" applyFill="1" applyBorder="1" applyAlignment="1">
      <alignment horizontal="center"/>
    </xf>
    <xf numFmtId="4" fontId="0" fillId="6" borderId="40" xfId="0" applyNumberFormat="1" applyFill="1" applyBorder="1" applyAlignment="1">
      <alignment horizontal="center"/>
    </xf>
    <xf numFmtId="4" fontId="0" fillId="6" borderId="41" xfId="0" applyNumberFormat="1" applyFill="1" applyBorder="1" applyAlignment="1">
      <alignment horizontal="center"/>
    </xf>
    <xf numFmtId="0" fontId="7" fillId="8" borderId="0" xfId="0" applyFont="1" applyFill="1" applyAlignment="1">
      <alignment horizontal="center"/>
    </xf>
    <xf numFmtId="4" fontId="4" fillId="8" borderId="2" xfId="0" applyNumberFormat="1" applyFont="1" applyFill="1" applyBorder="1" applyAlignment="1">
      <alignment horizontal="center" wrapText="1"/>
    </xf>
    <xf numFmtId="4" fontId="4" fillId="8" borderId="3" xfId="0" applyNumberFormat="1" applyFont="1" applyFill="1" applyBorder="1" applyAlignment="1">
      <alignment horizontal="center" wrapText="1"/>
    </xf>
    <xf numFmtId="4" fontId="0" fillId="8" borderId="5" xfId="0" applyNumberFormat="1" applyFill="1" applyBorder="1" applyAlignment="1">
      <alignment horizontal="center"/>
    </xf>
    <xf numFmtId="4" fontId="0" fillId="8" borderId="0" xfId="0" applyNumberFormat="1" applyFill="1" applyAlignment="1">
      <alignment horizontal="center"/>
    </xf>
    <xf numFmtId="4" fontId="0" fillId="8" borderId="6" xfId="0" applyNumberFormat="1" applyFill="1" applyBorder="1" applyAlignment="1">
      <alignment horizontal="center"/>
    </xf>
    <xf numFmtId="4" fontId="0" fillId="8" borderId="40" xfId="0" applyNumberFormat="1" applyFill="1" applyBorder="1" applyAlignment="1">
      <alignment horizontal="center"/>
    </xf>
    <xf numFmtId="4" fontId="0" fillId="8" borderId="41" xfId="0" applyNumberFormat="1" applyFill="1" applyBorder="1" applyAlignment="1">
      <alignment horizontal="center"/>
    </xf>
    <xf numFmtId="4" fontId="0" fillId="8" borderId="39" xfId="0" applyNumberFormat="1" applyFill="1" applyBorder="1" applyAlignment="1">
      <alignment horizontal="center"/>
    </xf>
    <xf numFmtId="0" fontId="7" fillId="9" borderId="0" xfId="0" applyFont="1" applyFill="1" applyAlignment="1">
      <alignment horizontal="center"/>
    </xf>
    <xf numFmtId="4" fontId="4" fillId="9" borderId="30" xfId="0" applyNumberFormat="1" applyFont="1" applyFill="1" applyBorder="1" applyAlignment="1">
      <alignment horizontal="center" wrapText="1"/>
    </xf>
    <xf numFmtId="4" fontId="0" fillId="9" borderId="0" xfId="0" applyNumberFormat="1" applyFill="1" applyAlignment="1">
      <alignment horizontal="center"/>
    </xf>
    <xf numFmtId="164" fontId="0" fillId="9" borderId="30" xfId="0" applyNumberFormat="1" applyFill="1" applyBorder="1" applyAlignment="1">
      <alignment horizontal="center"/>
    </xf>
    <xf numFmtId="164" fontId="0" fillId="9" borderId="0" xfId="0" applyNumberFormat="1" applyFill="1" applyAlignment="1">
      <alignment horizontal="center"/>
    </xf>
    <xf numFmtId="4" fontId="0" fillId="9" borderId="41" xfId="0" applyNumberFormat="1" applyFill="1" applyBorder="1" applyAlignment="1">
      <alignment horizontal="center"/>
    </xf>
    <xf numFmtId="164" fontId="0" fillId="9" borderId="41" xfId="0" applyNumberFormat="1" applyFill="1" applyBorder="1" applyAlignment="1">
      <alignment horizontal="center"/>
    </xf>
    <xf numFmtId="0" fontId="4" fillId="6" borderId="1" xfId="0" applyFont="1" applyFill="1" applyBorder="1" applyAlignment="1">
      <alignment horizontal="center" wrapText="1"/>
    </xf>
    <xf numFmtId="4" fontId="4" fillId="6" borderId="2" xfId="0" applyNumberFormat="1" applyFont="1" applyFill="1" applyBorder="1" applyAlignment="1">
      <alignment horizontal="center" wrapText="1"/>
    </xf>
    <xf numFmtId="4" fontId="4" fillId="6" borderId="37" xfId="0" applyNumberFormat="1" applyFont="1" applyFill="1" applyBorder="1" applyAlignment="1">
      <alignment horizontal="center" wrapText="1"/>
    </xf>
    <xf numFmtId="4" fontId="4" fillId="6" borderId="3" xfId="0" applyNumberFormat="1" applyFont="1" applyFill="1" applyBorder="1" applyAlignment="1">
      <alignment horizontal="center" wrapText="1"/>
    </xf>
    <xf numFmtId="0" fontId="0" fillId="7" borderId="4" xfId="0" applyFill="1" applyBorder="1" applyAlignment="1">
      <alignment horizontal="center"/>
    </xf>
    <xf numFmtId="4" fontId="0" fillId="6" borderId="6" xfId="0" applyNumberForma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38" xfId="0" applyFill="1" applyBorder="1" applyAlignment="1">
      <alignment horizontal="center"/>
    </xf>
    <xf numFmtId="4" fontId="0" fillId="6" borderId="39" xfId="0" applyNumberFormat="1" applyFill="1" applyBorder="1" applyAlignment="1">
      <alignment horizontal="center"/>
    </xf>
    <xf numFmtId="0" fontId="7" fillId="10" borderId="0" xfId="0" applyFont="1" applyFill="1" applyAlignment="1">
      <alignment horizontal="center"/>
    </xf>
    <xf numFmtId="4" fontId="4" fillId="10" borderId="1" xfId="0" applyNumberFormat="1" applyFont="1" applyFill="1" applyBorder="1" applyAlignment="1">
      <alignment horizontal="center" wrapText="1"/>
    </xf>
    <xf numFmtId="4" fontId="4" fillId="10" borderId="37" xfId="0" applyNumberFormat="1" applyFont="1" applyFill="1" applyBorder="1" applyAlignment="1">
      <alignment horizontal="center" wrapText="1"/>
    </xf>
    <xf numFmtId="4" fontId="4" fillId="10" borderId="30" xfId="0" applyNumberFormat="1" applyFont="1" applyFill="1" applyBorder="1" applyAlignment="1">
      <alignment horizontal="center" wrapText="1"/>
    </xf>
    <xf numFmtId="4" fontId="4" fillId="10" borderId="30" xfId="0" applyNumberFormat="1" applyFont="1" applyFill="1" applyBorder="1" applyAlignment="1">
      <alignment horizontal="center"/>
    </xf>
    <xf numFmtId="4" fontId="0" fillId="11" borderId="1" xfId="0" applyNumberFormat="1" applyFill="1" applyBorder="1" applyAlignment="1">
      <alignment horizontal="center"/>
    </xf>
    <xf numFmtId="0" fontId="0" fillId="10" borderId="0" xfId="0" applyFill="1"/>
    <xf numFmtId="4" fontId="0" fillId="10" borderId="30" xfId="0" applyNumberFormat="1" applyFill="1" applyBorder="1" applyAlignment="1">
      <alignment horizontal="center"/>
    </xf>
    <xf numFmtId="4" fontId="0" fillId="10" borderId="4" xfId="0" applyNumberFormat="1" applyFill="1" applyBorder="1" applyAlignment="1">
      <alignment horizontal="center"/>
    </xf>
    <xf numFmtId="4" fontId="0" fillId="10" borderId="0" xfId="0" applyNumberFormat="1" applyFill="1" applyAlignment="1">
      <alignment horizontal="center"/>
    </xf>
    <xf numFmtId="4" fontId="0" fillId="10" borderId="38" xfId="0" applyNumberFormat="1" applyFill="1" applyBorder="1" applyAlignment="1">
      <alignment horizontal="center"/>
    </xf>
    <xf numFmtId="4" fontId="0" fillId="10" borderId="41" xfId="0" applyNumberFormat="1" applyFill="1" applyBorder="1" applyAlignment="1">
      <alignment horizontal="center"/>
    </xf>
    <xf numFmtId="0" fontId="0" fillId="6" borderId="0" xfId="0" applyFill="1" applyAlignment="1">
      <alignment horizontal="center"/>
    </xf>
    <xf numFmtId="173" fontId="0" fillId="6" borderId="30" xfId="0" applyNumberFormat="1" applyFill="1" applyBorder="1" applyAlignment="1">
      <alignment horizontal="center"/>
    </xf>
    <xf numFmtId="173" fontId="0" fillId="6" borderId="0" xfId="0" applyNumberFormat="1" applyFill="1" applyAlignment="1">
      <alignment horizontal="center"/>
    </xf>
    <xf numFmtId="173" fontId="0" fillId="6" borderId="41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9" fontId="0" fillId="10" borderId="0" xfId="0" applyNumberFormat="1" applyFill="1" applyAlignment="1">
      <alignment horizontal="center"/>
    </xf>
    <xf numFmtId="4" fontId="4" fillId="10" borderId="7" xfId="0" applyNumberFormat="1" applyFont="1" applyFill="1" applyBorder="1" applyAlignment="1">
      <alignment horizontal="center" wrapText="1"/>
    </xf>
    <xf numFmtId="4" fontId="0" fillId="11" borderId="7" xfId="0" applyNumberFormat="1" applyFill="1" applyBorder="1" applyAlignment="1">
      <alignment horizontal="center"/>
    </xf>
    <xf numFmtId="4" fontId="0" fillId="10" borderId="5" xfId="0" applyNumberFormat="1" applyFill="1" applyBorder="1" applyAlignment="1">
      <alignment horizontal="center"/>
    </xf>
    <xf numFmtId="4" fontId="0" fillId="10" borderId="40" xfId="0" applyNumberFormat="1" applyFill="1" applyBorder="1" applyAlignment="1">
      <alignment horizontal="center"/>
    </xf>
    <xf numFmtId="0" fontId="7" fillId="8" borderId="41" xfId="0" applyFont="1" applyFill="1" applyBorder="1" applyAlignment="1">
      <alignment horizontal="center"/>
    </xf>
    <xf numFmtId="4" fontId="4" fillId="8" borderId="1" xfId="0" applyNumberFormat="1" applyFont="1" applyFill="1" applyBorder="1" applyAlignment="1">
      <alignment horizontal="center" wrapText="1"/>
    </xf>
    <xf numFmtId="0" fontId="4" fillId="8" borderId="9" xfId="0" applyFont="1" applyFill="1" applyBorder="1" applyAlignment="1">
      <alignment wrapText="1"/>
    </xf>
    <xf numFmtId="4" fontId="0" fillId="8" borderId="1" xfId="0" applyNumberFormat="1" applyFill="1" applyBorder="1" applyAlignment="1">
      <alignment horizontal="center"/>
    </xf>
    <xf numFmtId="0" fontId="0" fillId="8" borderId="5" xfId="0" applyFill="1" applyBorder="1"/>
    <xf numFmtId="0" fontId="0" fillId="8" borderId="6" xfId="0" applyFill="1" applyBorder="1"/>
    <xf numFmtId="43" fontId="18" fillId="8" borderId="1" xfId="1" applyFill="1" applyBorder="1"/>
    <xf numFmtId="4" fontId="0" fillId="8" borderId="4" xfId="0" applyNumberFormat="1" applyFill="1" applyBorder="1" applyAlignment="1">
      <alignment horizontal="center"/>
    </xf>
    <xf numFmtId="43" fontId="18" fillId="8" borderId="4" xfId="1" applyFill="1" applyBorder="1"/>
    <xf numFmtId="4" fontId="0" fillId="8" borderId="38" xfId="0" applyNumberFormat="1" applyFill="1" applyBorder="1" applyAlignment="1">
      <alignment horizontal="center"/>
    </xf>
    <xf numFmtId="0" fontId="0" fillId="8" borderId="40" xfId="0" applyFill="1" applyBorder="1"/>
    <xf numFmtId="0" fontId="0" fillId="8" borderId="39" xfId="0" applyFill="1" applyBorder="1"/>
    <xf numFmtId="43" fontId="18" fillId="8" borderId="38" xfId="1" applyFill="1" applyBorder="1"/>
    <xf numFmtId="0" fontId="0" fillId="8" borderId="0" xfId="0" applyFill="1"/>
    <xf numFmtId="43" fontId="18" fillId="8" borderId="0" xfId="1" applyFill="1"/>
    <xf numFmtId="0" fontId="0" fillId="8" borderId="0" xfId="0" applyFill="1" applyAlignment="1">
      <alignment horizontal="right"/>
    </xf>
    <xf numFmtId="43" fontId="4" fillId="8" borderId="0" xfId="1" applyFont="1" applyFill="1"/>
    <xf numFmtId="10" fontId="4" fillId="8" borderId="0" xfId="9" applyNumberFormat="1" applyFont="1" applyFill="1"/>
    <xf numFmtId="0" fontId="7" fillId="8" borderId="0" xfId="0" applyFont="1" applyFill="1" applyAlignment="1">
      <alignment horizontal="center" wrapText="1"/>
    </xf>
    <xf numFmtId="0" fontId="4" fillId="8" borderId="2" xfId="0" applyFont="1" applyFill="1" applyBorder="1"/>
    <xf numFmtId="0" fontId="4" fillId="8" borderId="37" xfId="0" applyFont="1" applyFill="1" applyBorder="1"/>
    <xf numFmtId="0" fontId="4" fillId="8" borderId="3" xfId="0" applyFont="1" applyFill="1" applyBorder="1" applyAlignment="1">
      <alignment wrapText="1"/>
    </xf>
    <xf numFmtId="0" fontId="4" fillId="8" borderId="9" xfId="0" applyFont="1" applyFill="1" applyBorder="1" applyAlignment="1">
      <alignment horizontal="center" wrapText="1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10" fontId="18" fillId="8" borderId="38" xfId="9" applyNumberFormat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30" xfId="0" applyFill="1" applyBorder="1" applyAlignment="1">
      <alignment horizontal="center"/>
    </xf>
    <xf numFmtId="0" fontId="0" fillId="10" borderId="41" xfId="0" applyFill="1" applyBorder="1" applyAlignment="1">
      <alignment horizontal="center"/>
    </xf>
    <xf numFmtId="174" fontId="0" fillId="6" borderId="30" xfId="0" applyNumberFormat="1" applyFill="1" applyBorder="1" applyAlignment="1">
      <alignment horizontal="center"/>
    </xf>
    <xf numFmtId="174" fontId="0" fillId="6" borderId="0" xfId="0" applyNumberFormat="1" applyFill="1" applyAlignment="1">
      <alignment horizontal="center"/>
    </xf>
    <xf numFmtId="174" fontId="0" fillId="6" borderId="41" xfId="0" applyNumberFormat="1" applyFill="1" applyBorder="1" applyAlignment="1">
      <alignment horizontal="center"/>
    </xf>
    <xf numFmtId="4" fontId="0" fillId="9" borderId="30" xfId="0" applyNumberFormat="1" applyFill="1" applyBorder="1" applyAlignment="1">
      <alignment horizontal="center"/>
    </xf>
    <xf numFmtId="0" fontId="5" fillId="9" borderId="38" xfId="0" applyFont="1" applyFill="1" applyBorder="1" applyAlignment="1">
      <alignment horizontal="center" wrapText="1"/>
    </xf>
    <xf numFmtId="0" fontId="0" fillId="9" borderId="38" xfId="0" applyFill="1" applyBorder="1"/>
    <xf numFmtId="0" fontId="5" fillId="9" borderId="0" xfId="0" applyFont="1" applyFill="1" applyAlignment="1">
      <alignment horizontal="center"/>
    </xf>
    <xf numFmtId="9" fontId="0" fillId="9" borderId="0" xfId="0" applyNumberFormat="1" applyFill="1" applyAlignment="1">
      <alignment horizontal="center"/>
    </xf>
    <xf numFmtId="0" fontId="0" fillId="9" borderId="0" xfId="0" applyFill="1" applyAlignment="1">
      <alignment horizontal="center"/>
    </xf>
    <xf numFmtId="0" fontId="0" fillId="9" borderId="30" xfId="0" applyFill="1" applyBorder="1" applyAlignment="1">
      <alignment horizontal="center"/>
    </xf>
    <xf numFmtId="0" fontId="0" fillId="9" borderId="41" xfId="0" applyFill="1" applyBorder="1" applyAlignment="1">
      <alignment horizontal="center"/>
    </xf>
    <xf numFmtId="4" fontId="4" fillId="10" borderId="9" xfId="0" applyNumberFormat="1" applyFont="1" applyFill="1" applyBorder="1" applyAlignment="1">
      <alignment horizontal="center" wrapText="1"/>
    </xf>
    <xf numFmtId="0" fontId="0" fillId="10" borderId="4" xfId="0" applyFill="1" applyBorder="1" applyAlignment="1">
      <alignment horizontal="center"/>
    </xf>
    <xf numFmtId="0" fontId="0" fillId="10" borderId="38" xfId="0" applyFill="1" applyBorder="1" applyAlignment="1">
      <alignment horizontal="center"/>
    </xf>
    <xf numFmtId="0" fontId="7" fillId="13" borderId="0" xfId="7" applyFont="1" applyFill="1" applyAlignment="1">
      <alignment horizontal="center"/>
    </xf>
    <xf numFmtId="0" fontId="18" fillId="13" borderId="0" xfId="7" applyFill="1"/>
    <xf numFmtId="9" fontId="18" fillId="13" borderId="0" xfId="7" applyNumberFormat="1" applyFill="1"/>
    <xf numFmtId="0" fontId="7" fillId="14" borderId="0" xfId="7" applyFont="1" applyFill="1" applyAlignment="1">
      <alignment horizontal="center"/>
    </xf>
    <xf numFmtId="0" fontId="18" fillId="14" borderId="0" xfId="7" applyFill="1"/>
    <xf numFmtId="0" fontId="7" fillId="12" borderId="0" xfId="7" applyFont="1" applyFill="1" applyAlignment="1">
      <alignment horizontal="center"/>
    </xf>
    <xf numFmtId="0" fontId="18" fillId="12" borderId="0" xfId="7" applyFill="1"/>
    <xf numFmtId="0" fontId="18" fillId="12" borderId="42" xfId="7" applyFill="1" applyBorder="1"/>
    <xf numFmtId="0" fontId="18" fillId="12" borderId="43" xfId="7" applyFill="1" applyBorder="1"/>
    <xf numFmtId="0" fontId="18" fillId="12" borderId="45" xfId="7" applyFill="1" applyBorder="1" applyAlignment="1">
      <alignment horizontal="right"/>
    </xf>
    <xf numFmtId="172" fontId="18" fillId="12" borderId="0" xfId="3" applyNumberFormat="1" applyFill="1"/>
    <xf numFmtId="0" fontId="18" fillId="12" borderId="45" xfId="7" applyFill="1" applyBorder="1"/>
    <xf numFmtId="43" fontId="18" fillId="12" borderId="45" xfId="3" applyFill="1" applyBorder="1"/>
    <xf numFmtId="43" fontId="18" fillId="12" borderId="0" xfId="3" applyFill="1"/>
    <xf numFmtId="0" fontId="18" fillId="12" borderId="0" xfId="7" applyFill="1" applyAlignment="1">
      <alignment horizontal="right"/>
    </xf>
    <xf numFmtId="43" fontId="18" fillId="12" borderId="45" xfId="7" applyNumberFormat="1" applyFill="1" applyBorder="1"/>
    <xf numFmtId="43" fontId="18" fillId="12" borderId="0" xfId="7" applyNumberFormat="1" applyFill="1"/>
    <xf numFmtId="0" fontId="7" fillId="8" borderId="0" xfId="7" applyFont="1" applyFill="1" applyAlignment="1">
      <alignment horizontal="center"/>
    </xf>
    <xf numFmtId="0" fontId="18" fillId="8" borderId="43" xfId="7" applyFill="1" applyBorder="1"/>
    <xf numFmtId="0" fontId="18" fillId="8" borderId="0" xfId="7" applyFill="1"/>
    <xf numFmtId="9" fontId="18" fillId="8" borderId="0" xfId="7" applyNumberFormat="1" applyFill="1"/>
    <xf numFmtId="43" fontId="18" fillId="8" borderId="0" xfId="3" applyFill="1"/>
    <xf numFmtId="43" fontId="18" fillId="8" borderId="0" xfId="7" applyNumberFormat="1" applyFill="1"/>
    <xf numFmtId="0" fontId="7" fillId="15" borderId="0" xfId="7" applyFont="1" applyFill="1" applyAlignment="1">
      <alignment horizontal="center"/>
    </xf>
    <xf numFmtId="0" fontId="18" fillId="15" borderId="43" xfId="7" applyFill="1" applyBorder="1"/>
    <xf numFmtId="0" fontId="18" fillId="15" borderId="0" xfId="7" applyFill="1"/>
    <xf numFmtId="43" fontId="18" fillId="15" borderId="0" xfId="3" applyFill="1"/>
    <xf numFmtId="43" fontId="18" fillId="15" borderId="0" xfId="7" applyNumberFormat="1" applyFill="1"/>
    <xf numFmtId="0" fontId="7" fillId="9" borderId="0" xfId="7" applyFont="1" applyFill="1" applyAlignment="1">
      <alignment horizontal="center"/>
    </xf>
    <xf numFmtId="0" fontId="18" fillId="9" borderId="44" xfId="7" applyFill="1" applyBorder="1"/>
    <xf numFmtId="0" fontId="18" fillId="9" borderId="46" xfId="7" applyFill="1" applyBorder="1"/>
    <xf numFmtId="43" fontId="18" fillId="9" borderId="46" xfId="3" applyFill="1" applyBorder="1"/>
    <xf numFmtId="43" fontId="18" fillId="9" borderId="0" xfId="7" applyNumberFormat="1" applyFill="1"/>
    <xf numFmtId="0" fontId="18" fillId="16" borderId="0" xfId="7" applyFill="1"/>
    <xf numFmtId="0" fontId="18" fillId="16" borderId="0" xfId="7" applyFill="1" applyAlignment="1">
      <alignment horizontal="right"/>
    </xf>
    <xf numFmtId="0" fontId="18" fillId="16" borderId="45" xfId="7" applyFill="1" applyBorder="1"/>
    <xf numFmtId="43" fontId="18" fillId="16" borderId="0" xfId="7" applyNumberFormat="1" applyFill="1"/>
    <xf numFmtId="0" fontId="18" fillId="13" borderId="42" xfId="7" applyFill="1" applyBorder="1"/>
    <xf numFmtId="0" fontId="18" fillId="13" borderId="45" xfId="7" applyFill="1" applyBorder="1"/>
    <xf numFmtId="43" fontId="18" fillId="9" borderId="46" xfId="7" applyNumberFormat="1" applyFill="1" applyBorder="1"/>
    <xf numFmtId="0" fontId="7" fillId="16" borderId="0" xfId="7" applyFont="1" applyFill="1" applyAlignment="1">
      <alignment horizontal="center"/>
    </xf>
    <xf numFmtId="0" fontId="18" fillId="16" borderId="0" xfId="7" applyFill="1" applyAlignment="1">
      <alignment horizontal="center"/>
    </xf>
    <xf numFmtId="0" fontId="18" fillId="16" borderId="47" xfId="7" applyFill="1" applyBorder="1"/>
    <xf numFmtId="0" fontId="18" fillId="16" borderId="48" xfId="7" applyFill="1" applyBorder="1" applyAlignment="1">
      <alignment horizontal="right"/>
    </xf>
    <xf numFmtId="43" fontId="18" fillId="16" borderId="48" xfId="7" applyNumberFormat="1" applyFill="1" applyBorder="1"/>
    <xf numFmtId="0" fontId="7" fillId="16" borderId="48" xfId="7" applyFont="1" applyFill="1" applyBorder="1" applyAlignment="1">
      <alignment horizontal="center"/>
    </xf>
    <xf numFmtId="0" fontId="18" fillId="16" borderId="42" xfId="7" applyFill="1" applyBorder="1"/>
    <xf numFmtId="0" fontId="18" fillId="16" borderId="43" xfId="7" applyFill="1" applyBorder="1"/>
    <xf numFmtId="0" fontId="4" fillId="16" borderId="43" xfId="7" applyFont="1" applyFill="1" applyBorder="1"/>
    <xf numFmtId="0" fontId="18" fillId="16" borderId="44" xfId="7" applyFill="1" applyBorder="1"/>
    <xf numFmtId="9" fontId="18" fillId="16" borderId="0" xfId="7" applyNumberFormat="1" applyFill="1"/>
    <xf numFmtId="0" fontId="18" fillId="16" borderId="46" xfId="7" applyFill="1" applyBorder="1"/>
    <xf numFmtId="172" fontId="18" fillId="16" borderId="0" xfId="3" applyNumberFormat="1" applyFill="1"/>
    <xf numFmtId="43" fontId="18" fillId="16" borderId="0" xfId="3" applyFill="1"/>
    <xf numFmtId="43" fontId="18" fillId="16" borderId="46" xfId="3" applyFill="1" applyBorder="1"/>
    <xf numFmtId="43" fontId="18" fillId="16" borderId="46" xfId="7" applyNumberFormat="1" applyFill="1" applyBorder="1"/>
    <xf numFmtId="0" fontId="18" fillId="16" borderId="48" xfId="7" applyFill="1" applyBorder="1"/>
    <xf numFmtId="0" fontId="18" fillId="16" borderId="49" xfId="7" applyFill="1" applyBorder="1"/>
    <xf numFmtId="0" fontId="18" fillId="9" borderId="42" xfId="7" applyFill="1" applyBorder="1"/>
    <xf numFmtId="0" fontId="18" fillId="9" borderId="43" xfId="7" applyFill="1" applyBorder="1"/>
    <xf numFmtId="0" fontId="4" fillId="9" borderId="43" xfId="7" applyFont="1" applyFill="1" applyBorder="1"/>
    <xf numFmtId="0" fontId="18" fillId="9" borderId="0" xfId="7" applyFill="1"/>
    <xf numFmtId="9" fontId="18" fillId="9" borderId="0" xfId="7" applyNumberFormat="1" applyFill="1"/>
    <xf numFmtId="0" fontId="18" fillId="9" borderId="45" xfId="7" applyFill="1" applyBorder="1" applyAlignment="1">
      <alignment horizontal="right"/>
    </xf>
    <xf numFmtId="172" fontId="18" fillId="9" borderId="0" xfId="3" applyNumberFormat="1" applyFill="1"/>
    <xf numFmtId="43" fontId="18" fillId="9" borderId="0" xfId="3" applyFill="1"/>
    <xf numFmtId="0" fontId="18" fillId="9" borderId="45" xfId="7" applyFill="1" applyBorder="1"/>
    <xf numFmtId="43" fontId="18" fillId="9" borderId="45" xfId="3" applyFill="1" applyBorder="1"/>
    <xf numFmtId="43" fontId="18" fillId="9" borderId="45" xfId="7" applyNumberFormat="1" applyFill="1" applyBorder="1"/>
    <xf numFmtId="0" fontId="18" fillId="9" borderId="47" xfId="7" applyFill="1" applyBorder="1"/>
    <xf numFmtId="0" fontId="18" fillId="9" borderId="48" xfId="7" applyFill="1" applyBorder="1"/>
    <xf numFmtId="0" fontId="18" fillId="9" borderId="49" xfId="7" applyFill="1" applyBorder="1"/>
    <xf numFmtId="0" fontId="18" fillId="15" borderId="42" xfId="7" applyFill="1" applyBorder="1"/>
    <xf numFmtId="0" fontId="4" fillId="15" borderId="43" xfId="7" applyFont="1" applyFill="1" applyBorder="1"/>
    <xf numFmtId="0" fontId="18" fillId="15" borderId="44" xfId="7" applyFill="1" applyBorder="1"/>
    <xf numFmtId="0" fontId="18" fillId="15" borderId="45" xfId="7" applyFill="1" applyBorder="1"/>
    <xf numFmtId="9" fontId="18" fillId="15" borderId="0" xfId="7" applyNumberFormat="1" applyFill="1"/>
    <xf numFmtId="0" fontId="18" fillId="15" borderId="46" xfId="7" applyFill="1" applyBorder="1"/>
    <xf numFmtId="0" fontId="18" fillId="15" borderId="0" xfId="7" applyFill="1" applyAlignment="1">
      <alignment horizontal="right"/>
    </xf>
    <xf numFmtId="172" fontId="18" fillId="15" borderId="0" xfId="3" applyNumberFormat="1" applyFill="1"/>
    <xf numFmtId="43" fontId="18" fillId="15" borderId="46" xfId="3" applyFill="1" applyBorder="1"/>
    <xf numFmtId="0" fontId="22" fillId="15" borderId="45" xfId="7" applyFont="1" applyFill="1" applyBorder="1" applyAlignment="1">
      <alignment horizontal="center"/>
    </xf>
    <xf numFmtId="43" fontId="18" fillId="15" borderId="45" xfId="7" applyNumberFormat="1" applyFill="1" applyBorder="1"/>
    <xf numFmtId="43" fontId="18" fillId="15" borderId="46" xfId="7" applyNumberFormat="1" applyFill="1" applyBorder="1"/>
    <xf numFmtId="0" fontId="18" fillId="15" borderId="0" xfId="7" applyFill="1" applyAlignment="1">
      <alignment horizontal="center"/>
    </xf>
    <xf numFmtId="0" fontId="18" fillId="15" borderId="47" xfId="7" applyFill="1" applyBorder="1"/>
    <xf numFmtId="0" fontId="18" fillId="15" borderId="48" xfId="7" applyFill="1" applyBorder="1" applyAlignment="1">
      <alignment horizontal="right"/>
    </xf>
    <xf numFmtId="43" fontId="18" fillId="15" borderId="48" xfId="7" applyNumberFormat="1" applyFill="1" applyBorder="1"/>
    <xf numFmtId="0" fontId="7" fillId="15" borderId="48" xfId="7" applyFont="1" applyFill="1" applyBorder="1" applyAlignment="1">
      <alignment horizontal="center"/>
    </xf>
    <xf numFmtId="0" fontId="18" fillId="15" borderId="48" xfId="7" applyFill="1" applyBorder="1"/>
    <xf numFmtId="0" fontId="18" fillId="15" borderId="49" xfId="7" applyFill="1" applyBorder="1"/>
    <xf numFmtId="0" fontId="18" fillId="14" borderId="0" xfId="7" applyFill="1" applyAlignment="1">
      <alignment horizontal="right"/>
    </xf>
    <xf numFmtId="43" fontId="18" fillId="14" borderId="0" xfId="7" applyNumberFormat="1" applyFill="1"/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4" fillId="0" borderId="12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0" borderId="13" xfId="0" applyBorder="1" applyAlignment="1">
      <alignment horizontal="left" vertical="center" wrapText="1"/>
    </xf>
    <xf numFmtId="0" fontId="4" fillId="0" borderId="12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37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7" fillId="12" borderId="0" xfId="7" applyFont="1" applyFill="1" applyAlignment="1">
      <alignment horizontal="center"/>
    </xf>
    <xf numFmtId="0" fontId="7" fillId="8" borderId="0" xfId="7" applyFont="1" applyFill="1" applyAlignment="1">
      <alignment horizontal="center"/>
    </xf>
    <xf numFmtId="0" fontId="18" fillId="12" borderId="45" xfId="7" applyFill="1" applyBorder="1" applyAlignment="1">
      <alignment horizontal="center"/>
    </xf>
    <xf numFmtId="0" fontId="18" fillId="12" borderId="0" xfId="7" applyFill="1" applyAlignment="1">
      <alignment horizontal="center"/>
    </xf>
    <xf numFmtId="0" fontId="7" fillId="16" borderId="0" xfId="7" applyFont="1" applyFill="1" applyAlignment="1">
      <alignment horizontal="center" vertical="center"/>
    </xf>
    <xf numFmtId="0" fontId="7" fillId="0" borderId="0" xfId="7" applyFont="1" applyAlignment="1">
      <alignment horizontal="center"/>
    </xf>
    <xf numFmtId="0" fontId="4" fillId="0" borderId="0" xfId="7" applyFont="1" applyAlignment="1">
      <alignment horizontal="center"/>
    </xf>
    <xf numFmtId="0" fontId="18" fillId="0" borderId="45" xfId="7" applyBorder="1" applyAlignment="1">
      <alignment horizontal="center"/>
    </xf>
    <xf numFmtId="0" fontId="18" fillId="0" borderId="0" xfId="7" applyAlignment="1">
      <alignment horizontal="center"/>
    </xf>
    <xf numFmtId="0" fontId="7" fillId="9" borderId="48" xfId="7" applyFont="1" applyFill="1" applyBorder="1" applyAlignment="1">
      <alignment horizontal="center"/>
    </xf>
    <xf numFmtId="0" fontId="7" fillId="16" borderId="48" xfId="7" applyFont="1" applyFill="1" applyBorder="1" applyAlignment="1">
      <alignment horizontal="center"/>
    </xf>
    <xf numFmtId="0" fontId="7" fillId="15" borderId="48" xfId="7" applyFont="1" applyFill="1" applyBorder="1" applyAlignment="1">
      <alignment horizontal="center"/>
    </xf>
    <xf numFmtId="0" fontId="18" fillId="9" borderId="45" xfId="7" applyFill="1" applyBorder="1" applyAlignment="1">
      <alignment horizontal="center"/>
    </xf>
    <xf numFmtId="0" fontId="18" fillId="9" borderId="0" xfId="7" applyFill="1" applyAlignment="1">
      <alignment horizontal="center"/>
    </xf>
    <xf numFmtId="0" fontId="18" fillId="16" borderId="0" xfId="7" applyFill="1" applyAlignment="1">
      <alignment horizontal="center"/>
    </xf>
    <xf numFmtId="0" fontId="18" fillId="15" borderId="0" xfId="7" applyFill="1" applyAlignment="1">
      <alignment horizontal="center"/>
    </xf>
    <xf numFmtId="0" fontId="7" fillId="0" borderId="0" xfId="7" applyFont="1" applyAlignment="1">
      <alignment horizontal="left" vertical="center"/>
    </xf>
    <xf numFmtId="0" fontId="7" fillId="0" borderId="0" xfId="7" applyFont="1" applyAlignment="1">
      <alignment vertical="center"/>
    </xf>
    <xf numFmtId="0" fontId="1" fillId="0" borderId="0" xfId="7" applyFont="1"/>
    <xf numFmtId="0" fontId="1" fillId="0" borderId="0" xfId="7" applyFont="1" applyAlignment="1">
      <alignment horizontal="right"/>
    </xf>
    <xf numFmtId="43" fontId="18" fillId="0" borderId="0" xfId="7" applyNumberFormat="1" applyBorder="1"/>
    <xf numFmtId="0" fontId="1" fillId="0" borderId="45" xfId="7" applyFont="1" applyFill="1" applyBorder="1" applyAlignment="1">
      <alignment horizontal="center"/>
    </xf>
    <xf numFmtId="0" fontId="1" fillId="0" borderId="0" xfId="7" applyFont="1" applyFill="1" applyBorder="1" applyAlignment="1">
      <alignment horizontal="center"/>
    </xf>
    <xf numFmtId="0" fontId="1" fillId="0" borderId="46" xfId="7" applyFont="1" applyFill="1" applyBorder="1" applyAlignment="1">
      <alignment horizontal="center"/>
    </xf>
    <xf numFmtId="0" fontId="1" fillId="0" borderId="45" xfId="7" applyFont="1" applyFill="1" applyBorder="1"/>
    <xf numFmtId="0" fontId="1" fillId="0" borderId="0" xfId="7" applyFont="1" applyFill="1"/>
    <xf numFmtId="0" fontId="1" fillId="0" borderId="0" xfId="7" applyFont="1" applyFill="1" applyBorder="1"/>
    <xf numFmtId="0" fontId="7" fillId="15" borderId="48" xfId="7" applyFont="1" applyFill="1" applyBorder="1" applyAlignment="1"/>
    <xf numFmtId="0" fontId="1" fillId="15" borderId="0" xfId="7" applyFont="1" applyFill="1" applyBorder="1" applyAlignment="1">
      <alignment horizontal="center"/>
    </xf>
    <xf numFmtId="0" fontId="1" fillId="15" borderId="0" xfId="7" applyFont="1" applyFill="1" applyBorder="1"/>
    <xf numFmtId="0" fontId="1" fillId="16" borderId="0" xfId="7" applyFont="1" applyFill="1" applyBorder="1" applyAlignment="1">
      <alignment horizontal="center"/>
    </xf>
    <xf numFmtId="0" fontId="1" fillId="16" borderId="0" xfId="7" applyFont="1" applyFill="1" applyBorder="1"/>
    <xf numFmtId="0" fontId="18" fillId="15" borderId="45" xfId="7" applyFill="1" applyBorder="1" applyAlignment="1">
      <alignment horizontal="center"/>
    </xf>
    <xf numFmtId="0" fontId="18" fillId="16" borderId="45" xfId="7" applyFill="1" applyBorder="1" applyAlignment="1">
      <alignment horizontal="center"/>
    </xf>
    <xf numFmtId="0" fontId="1" fillId="9" borderId="45" xfId="7" applyFont="1" applyFill="1" applyBorder="1" applyAlignment="1">
      <alignment horizontal="center"/>
    </xf>
    <xf numFmtId="0" fontId="1" fillId="9" borderId="0" xfId="7" applyFont="1" applyFill="1" applyBorder="1" applyAlignment="1">
      <alignment horizontal="center"/>
    </xf>
    <xf numFmtId="0" fontId="1" fillId="9" borderId="46" xfId="7" applyFont="1" applyFill="1" applyBorder="1" applyAlignment="1">
      <alignment horizontal="center"/>
    </xf>
    <xf numFmtId="0" fontId="1" fillId="9" borderId="45" xfId="7" applyFont="1" applyFill="1" applyBorder="1"/>
    <xf numFmtId="0" fontId="1" fillId="9" borderId="0" xfId="7" applyFont="1" applyFill="1"/>
    <xf numFmtId="172" fontId="6" fillId="0" borderId="0" xfId="0" applyNumberFormat="1" applyFont="1"/>
  </cellXfs>
  <cellStyles count="11">
    <cellStyle name="Comma" xfId="1" builtinId="3"/>
    <cellStyle name="Comma 2" xfId="2" xr:uid="{00000000-0005-0000-0000-000001000000}"/>
    <cellStyle name="Comma 3" xfId="3" xr:uid="{00000000-0005-0000-0000-000002000000}"/>
    <cellStyle name="Currency 2" xfId="4" xr:uid="{00000000-0005-0000-0000-000003000000}"/>
    <cellStyle name="Normal" xfId="0" builtinId="0"/>
    <cellStyle name="Normal 2" xfId="5" xr:uid="{00000000-0005-0000-0000-000005000000}"/>
    <cellStyle name="Normal 3" xfId="6" xr:uid="{00000000-0005-0000-0000-000006000000}"/>
    <cellStyle name="Normal 4" xfId="7" xr:uid="{00000000-0005-0000-0000-000007000000}"/>
    <cellStyle name="Normal 8" xfId="8" xr:uid="{00000000-0005-0000-0000-000008000000}"/>
    <cellStyle name="Percent" xfId="9" builtinId="5"/>
    <cellStyle name="Percent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4"/>
  <sheetViews>
    <sheetView tabSelected="1" topLeftCell="D1" workbookViewId="0">
      <selection activeCell="K6" sqref="K6"/>
    </sheetView>
  </sheetViews>
  <sheetFormatPr defaultRowHeight="15" x14ac:dyDescent="0.25"/>
  <cols>
    <col min="1" max="1" width="10.42578125" customWidth="1"/>
    <col min="2" max="2" width="2.140625" customWidth="1"/>
    <col min="3" max="3" width="15.42578125" customWidth="1"/>
    <col min="4" max="4" width="2.140625" customWidth="1"/>
    <col min="5" max="5" width="17.42578125" customWidth="1"/>
    <col min="6" max="6" width="2.5703125" customWidth="1"/>
    <col min="7" max="7" width="36.140625" customWidth="1"/>
    <col min="8" max="8" width="61.42578125" customWidth="1"/>
    <col min="9" max="9" width="2.28515625" customWidth="1"/>
    <col min="10" max="10" width="27.28515625" customWidth="1"/>
    <col min="11" max="11" width="40" customWidth="1"/>
  </cols>
  <sheetData>
    <row r="1" spans="1:11" x14ac:dyDescent="0.25">
      <c r="A1" s="1"/>
      <c r="C1" s="2" t="s">
        <v>0</v>
      </c>
      <c r="E1" s="2" t="s">
        <v>1</v>
      </c>
      <c r="G1" s="368" t="s">
        <v>2</v>
      </c>
      <c r="H1" s="369"/>
      <c r="J1" s="368" t="s">
        <v>3</v>
      </c>
      <c r="K1" s="369"/>
    </row>
    <row r="2" spans="1:11" x14ac:dyDescent="0.25">
      <c r="C2" s="3"/>
      <c r="E2" s="3"/>
      <c r="G2" s="4"/>
      <c r="H2" s="5"/>
      <c r="J2" s="6"/>
      <c r="K2" s="7"/>
    </row>
    <row r="3" spans="1:11" ht="19.5" customHeight="1" x14ac:dyDescent="0.25">
      <c r="A3" s="8" t="s">
        <v>4</v>
      </c>
      <c r="B3" s="1"/>
      <c r="C3" s="9" t="s">
        <v>5</v>
      </c>
      <c r="D3" s="1"/>
      <c r="E3" s="9" t="s">
        <v>6</v>
      </c>
      <c r="G3" s="10" t="s">
        <v>7</v>
      </c>
      <c r="H3" s="11" t="s">
        <v>8</v>
      </c>
      <c r="J3" s="12" t="s">
        <v>9</v>
      </c>
      <c r="K3" s="13" t="s">
        <v>10</v>
      </c>
    </row>
    <row r="4" spans="1:11" x14ac:dyDescent="0.25">
      <c r="A4" s="14">
        <v>50</v>
      </c>
      <c r="B4" s="15"/>
      <c r="C4" s="16">
        <v>2.3550699999999999E-3</v>
      </c>
      <c r="D4" s="17"/>
      <c r="E4" s="16">
        <v>2.5905799999999999E-3</v>
      </c>
      <c r="G4" s="371" t="s">
        <v>11</v>
      </c>
      <c r="H4" s="370" t="s">
        <v>12</v>
      </c>
      <c r="J4" s="18" t="s">
        <v>13</v>
      </c>
      <c r="K4" s="19" t="s">
        <v>14</v>
      </c>
    </row>
    <row r="5" spans="1:11" x14ac:dyDescent="0.25">
      <c r="A5" s="20">
        <v>51</v>
      </c>
      <c r="B5" s="15"/>
      <c r="C5" s="21">
        <v>2.6869200000000002E-3</v>
      </c>
      <c r="D5" s="17"/>
      <c r="E5" s="21">
        <v>2.95561E-3</v>
      </c>
      <c r="G5" s="372"/>
      <c r="H5" s="359"/>
      <c r="J5" s="18" t="s">
        <v>15</v>
      </c>
      <c r="K5" s="22" t="s">
        <v>16</v>
      </c>
    </row>
    <row r="6" spans="1:11" x14ac:dyDescent="0.25">
      <c r="A6" s="20">
        <v>52</v>
      </c>
      <c r="B6" s="15"/>
      <c r="C6" s="21">
        <v>3.06508E-3</v>
      </c>
      <c r="D6" s="17"/>
      <c r="E6" s="21">
        <v>3.3715899999999998E-3</v>
      </c>
      <c r="G6" s="372" t="s">
        <v>17</v>
      </c>
      <c r="H6" s="359" t="s">
        <v>18</v>
      </c>
      <c r="J6" s="23" t="s">
        <v>19</v>
      </c>
      <c r="K6" s="24" t="s">
        <v>20</v>
      </c>
    </row>
    <row r="7" spans="1:11" x14ac:dyDescent="0.25">
      <c r="A7" s="20">
        <v>53</v>
      </c>
      <c r="B7" s="15"/>
      <c r="C7" s="21">
        <v>3.4917500000000001E-3</v>
      </c>
      <c r="D7" s="17"/>
      <c r="E7" s="21">
        <v>3.8409199999999998E-3</v>
      </c>
      <c r="G7" s="372"/>
      <c r="H7" s="359"/>
      <c r="J7" s="1"/>
      <c r="K7" s="25"/>
    </row>
    <row r="8" spans="1:11" x14ac:dyDescent="0.25">
      <c r="A8" s="20">
        <v>54</v>
      </c>
      <c r="B8" s="15"/>
      <c r="C8" s="21">
        <v>3.9735400000000002E-3</v>
      </c>
      <c r="D8" s="17"/>
      <c r="E8" s="21">
        <v>4.3708899999999997E-3</v>
      </c>
      <c r="G8" s="358" t="s">
        <v>21</v>
      </c>
      <c r="H8" s="359"/>
    </row>
    <row r="9" spans="1:11" x14ac:dyDescent="0.25">
      <c r="A9" s="20">
        <v>55</v>
      </c>
      <c r="B9" s="15"/>
      <c r="C9" s="21">
        <v>4.5170699999999998E-3</v>
      </c>
      <c r="D9" s="17"/>
      <c r="E9" s="21">
        <v>4.9687799999999999E-3</v>
      </c>
      <c r="G9" s="360"/>
      <c r="H9" s="361"/>
    </row>
    <row r="10" spans="1:11" x14ac:dyDescent="0.25">
      <c r="A10" s="20">
        <v>56</v>
      </c>
      <c r="B10" s="15"/>
      <c r="C10" s="21">
        <v>5.1300599999999997E-3</v>
      </c>
      <c r="D10" s="17"/>
      <c r="E10" s="21">
        <v>5.64307E-3</v>
      </c>
      <c r="G10" s="365" t="s">
        <v>22</v>
      </c>
      <c r="H10" s="362" t="s">
        <v>23</v>
      </c>
    </row>
    <row r="11" spans="1:11" x14ac:dyDescent="0.25">
      <c r="A11" s="20">
        <v>57</v>
      </c>
      <c r="B11" s="15"/>
      <c r="C11" s="21">
        <v>5.8191199999999997E-3</v>
      </c>
      <c r="D11" s="17"/>
      <c r="E11" s="21">
        <v>6.4010400000000002E-3</v>
      </c>
      <c r="G11" s="366"/>
      <c r="H11" s="363"/>
      <c r="J11" s="1"/>
    </row>
    <row r="12" spans="1:11" x14ac:dyDescent="0.25">
      <c r="A12" s="20">
        <v>58</v>
      </c>
      <c r="B12" s="15"/>
      <c r="C12" s="21">
        <v>6.5930800000000003E-3</v>
      </c>
      <c r="D12" s="17"/>
      <c r="E12" s="21">
        <v>7.2523900000000001E-3</v>
      </c>
      <c r="G12" s="367"/>
      <c r="H12" s="364"/>
    </row>
    <row r="13" spans="1:11" x14ac:dyDescent="0.25">
      <c r="A13" s="20">
        <v>59</v>
      </c>
      <c r="B13" s="15"/>
      <c r="C13" s="21">
        <v>7.4618499999999999E-3</v>
      </c>
      <c r="D13" s="17"/>
      <c r="E13" s="21">
        <v>8.2080399999999998E-3</v>
      </c>
      <c r="G13" s="12" t="s">
        <v>24</v>
      </c>
      <c r="H13" s="26" t="s">
        <v>25</v>
      </c>
    </row>
    <row r="14" spans="1:11" x14ac:dyDescent="0.25">
      <c r="A14" s="20">
        <v>60</v>
      </c>
      <c r="B14" s="15"/>
      <c r="C14" s="21">
        <v>8.4342600000000007E-3</v>
      </c>
      <c r="D14" s="17"/>
      <c r="E14" s="21">
        <v>9.27768E-3</v>
      </c>
      <c r="G14" s="23" t="s">
        <v>26</v>
      </c>
      <c r="H14" s="27" t="s">
        <v>27</v>
      </c>
    </row>
    <row r="15" spans="1:11" x14ac:dyDescent="0.25">
      <c r="A15" s="20">
        <v>61</v>
      </c>
      <c r="B15" s="15"/>
      <c r="C15" s="21">
        <v>9.5224200000000002E-3</v>
      </c>
      <c r="D15" s="17"/>
      <c r="E15" s="21">
        <v>1.047466E-2</v>
      </c>
      <c r="G15" s="12" t="s">
        <v>28</v>
      </c>
      <c r="H15" s="26" t="s">
        <v>29</v>
      </c>
      <c r="J15" s="1"/>
    </row>
    <row r="16" spans="1:11" x14ac:dyDescent="0.25">
      <c r="A16" s="20">
        <v>62</v>
      </c>
      <c r="B16" s="15"/>
      <c r="C16" s="21">
        <v>1.073848E-2</v>
      </c>
      <c r="D16" s="17"/>
      <c r="E16" s="21">
        <v>1.1812329999999999E-2</v>
      </c>
      <c r="G16" s="18" t="s">
        <v>30</v>
      </c>
      <c r="H16" s="28" t="s">
        <v>31</v>
      </c>
    </row>
    <row r="17" spans="1:8" x14ac:dyDescent="0.25">
      <c r="A17" s="20">
        <v>63</v>
      </c>
      <c r="B17" s="15"/>
      <c r="C17" s="21">
        <v>1.209676E-2</v>
      </c>
      <c r="D17" s="17"/>
      <c r="E17" s="21">
        <v>1.3306439999999999E-2</v>
      </c>
      <c r="G17" s="23" t="s">
        <v>32</v>
      </c>
      <c r="H17" s="27" t="s">
        <v>33</v>
      </c>
    </row>
    <row r="18" spans="1:8" x14ac:dyDescent="0.25">
      <c r="A18" s="20">
        <v>64</v>
      </c>
      <c r="B18" s="15"/>
      <c r="C18" s="21">
        <v>1.3609390000000001E-2</v>
      </c>
      <c r="D18" s="17"/>
      <c r="E18" s="21">
        <v>1.497033E-2</v>
      </c>
    </row>
    <row r="19" spans="1:8" x14ac:dyDescent="0.25">
      <c r="A19" s="20">
        <v>65</v>
      </c>
      <c r="B19" s="15"/>
      <c r="C19" s="21">
        <v>1.529291E-2</v>
      </c>
      <c r="D19" s="17"/>
      <c r="E19" s="21">
        <v>1.6822199999999999E-2</v>
      </c>
    </row>
    <row r="20" spans="1:8" x14ac:dyDescent="0.25">
      <c r="A20" s="20">
        <v>66</v>
      </c>
      <c r="B20" s="15"/>
      <c r="C20" s="21">
        <v>1.7163850000000001E-2</v>
      </c>
      <c r="D20" s="17"/>
      <c r="E20" s="21">
        <v>1.888024E-2</v>
      </c>
    </row>
    <row r="21" spans="1:8" x14ac:dyDescent="0.25">
      <c r="A21" s="20">
        <v>67</v>
      </c>
      <c r="B21" s="15"/>
      <c r="C21" s="21">
        <v>1.9240960000000001E-2</v>
      </c>
      <c r="D21" s="17"/>
      <c r="E21" s="21">
        <v>2.1165059999999999E-2</v>
      </c>
    </row>
    <row r="22" spans="1:8" x14ac:dyDescent="0.25">
      <c r="A22" s="20">
        <v>68</v>
      </c>
      <c r="B22" s="15"/>
      <c r="C22" s="21">
        <v>2.154408E-2</v>
      </c>
      <c r="D22" s="17"/>
      <c r="E22" s="21">
        <v>2.3698489999999999E-2</v>
      </c>
    </row>
    <row r="23" spans="1:8" x14ac:dyDescent="0.25">
      <c r="A23" s="20">
        <v>69</v>
      </c>
      <c r="B23" s="15"/>
      <c r="C23" s="21">
        <v>2.4094170000000002E-2</v>
      </c>
      <c r="D23" s="17"/>
      <c r="E23" s="21">
        <v>2.6503579999999999E-2</v>
      </c>
    </row>
    <row r="24" spans="1:8" x14ac:dyDescent="0.25">
      <c r="A24" s="20">
        <v>70</v>
      </c>
      <c r="B24" s="15"/>
      <c r="C24" s="21">
        <v>2.6913260000000001E-2</v>
      </c>
      <c r="D24" s="17"/>
      <c r="E24" s="21">
        <v>2.9604579999999998E-2</v>
      </c>
    </row>
    <row r="25" spans="1:8" x14ac:dyDescent="0.25">
      <c r="A25" s="20">
        <v>71</v>
      </c>
      <c r="B25" s="15"/>
      <c r="C25" s="21">
        <v>3.0025619999999999E-2</v>
      </c>
      <c r="D25" s="17"/>
      <c r="E25" s="21">
        <v>3.3028179999999997E-2</v>
      </c>
    </row>
    <row r="26" spans="1:8" x14ac:dyDescent="0.25">
      <c r="A26" s="20">
        <v>72</v>
      </c>
      <c r="B26" s="15"/>
      <c r="C26" s="21">
        <v>3.3456600000000003E-2</v>
      </c>
      <c r="D26" s="17"/>
      <c r="E26" s="21">
        <v>3.6802250000000002E-2</v>
      </c>
    </row>
    <row r="27" spans="1:8" x14ac:dyDescent="0.25">
      <c r="A27" s="20">
        <v>73</v>
      </c>
      <c r="B27" s="15"/>
      <c r="C27" s="21">
        <v>3.7233759999999998E-2</v>
      </c>
      <c r="D27" s="17"/>
      <c r="E27" s="21">
        <v>4.0957140000000003E-2</v>
      </c>
    </row>
    <row r="28" spans="1:8" x14ac:dyDescent="0.25">
      <c r="A28" s="20">
        <v>74</v>
      </c>
      <c r="B28" s="15"/>
      <c r="C28" s="21">
        <v>4.1386880000000001E-2</v>
      </c>
      <c r="D28" s="17"/>
      <c r="E28" s="21">
        <v>4.5525570000000001E-2</v>
      </c>
    </row>
    <row r="29" spans="1:8" x14ac:dyDescent="0.25">
      <c r="A29" s="20">
        <v>75</v>
      </c>
      <c r="B29" s="15"/>
      <c r="C29" s="21">
        <v>4.5945720000000002E-2</v>
      </c>
      <c r="D29" s="17"/>
      <c r="E29" s="21">
        <v>5.0540290000000002E-2</v>
      </c>
    </row>
    <row r="30" spans="1:8" x14ac:dyDescent="0.25">
      <c r="A30" s="20">
        <v>76</v>
      </c>
      <c r="B30" s="15"/>
      <c r="C30" s="21">
        <v>5.0942250000000001E-2</v>
      </c>
      <c r="D30" s="17"/>
      <c r="E30" s="21">
        <v>5.6036469999999998E-2</v>
      </c>
    </row>
    <row r="31" spans="1:8" x14ac:dyDescent="0.25">
      <c r="A31" s="20">
        <v>77</v>
      </c>
      <c r="B31" s="15"/>
      <c r="C31" s="21">
        <v>5.641065E-2</v>
      </c>
      <c r="D31" s="17"/>
      <c r="E31" s="21">
        <v>6.2051710000000003E-2</v>
      </c>
    </row>
    <row r="32" spans="1:8" x14ac:dyDescent="0.25">
      <c r="A32" s="20">
        <v>78</v>
      </c>
      <c r="B32" s="15"/>
      <c r="C32" s="21">
        <v>6.238399E-2</v>
      </c>
      <c r="D32" s="17"/>
      <c r="E32" s="21">
        <v>6.8622390000000005E-2</v>
      </c>
    </row>
    <row r="33" spans="1:5" x14ac:dyDescent="0.25">
      <c r="A33" s="20">
        <v>79</v>
      </c>
      <c r="B33" s="15"/>
      <c r="C33" s="21">
        <v>6.8900870000000003E-2</v>
      </c>
      <c r="D33" s="17"/>
      <c r="E33" s="21">
        <v>7.5790949999999996E-2</v>
      </c>
    </row>
    <row r="34" spans="1:5" x14ac:dyDescent="0.25">
      <c r="A34" s="20">
        <v>80</v>
      </c>
      <c r="B34" s="15"/>
      <c r="C34" s="21">
        <v>7.5996560000000005E-2</v>
      </c>
      <c r="D34" s="17"/>
      <c r="E34" s="21">
        <v>8.3596210000000004E-2</v>
      </c>
    </row>
    <row r="35" spans="1:5" x14ac:dyDescent="0.25">
      <c r="A35" s="20">
        <v>81</v>
      </c>
      <c r="B35" s="15"/>
      <c r="C35" s="21">
        <v>8.371075E-2</v>
      </c>
      <c r="D35" s="17"/>
      <c r="E35" s="21">
        <v>9.2081830000000003E-2</v>
      </c>
    </row>
    <row r="36" spans="1:5" x14ac:dyDescent="0.25">
      <c r="A36" s="20">
        <v>82</v>
      </c>
      <c r="B36" s="15"/>
      <c r="C36" s="21">
        <v>9.2082029999999995E-2</v>
      </c>
      <c r="D36" s="17"/>
      <c r="E36" s="21">
        <v>0.10129024</v>
      </c>
    </row>
    <row r="37" spans="1:5" x14ac:dyDescent="0.25">
      <c r="A37" s="20">
        <v>83</v>
      </c>
      <c r="B37" s="15"/>
      <c r="C37" s="21">
        <v>0.10114898999999999</v>
      </c>
      <c r="D37" s="17"/>
      <c r="E37" s="21">
        <v>0.11126389</v>
      </c>
    </row>
    <row r="38" spans="1:5" x14ac:dyDescent="0.25">
      <c r="A38" s="20">
        <v>84</v>
      </c>
      <c r="B38" s="15"/>
      <c r="C38" s="21">
        <v>0.11095022</v>
      </c>
      <c r="D38" s="17"/>
      <c r="E38" s="21">
        <v>0.12204524</v>
      </c>
    </row>
    <row r="39" spans="1:5" x14ac:dyDescent="0.25">
      <c r="A39" s="20">
        <v>85</v>
      </c>
      <c r="B39" s="15"/>
      <c r="C39" s="21">
        <v>0.1215265</v>
      </c>
      <c r="D39" s="17"/>
      <c r="E39" s="21">
        <v>0.13367915</v>
      </c>
    </row>
    <row r="40" spans="1:5" x14ac:dyDescent="0.25">
      <c r="A40" s="20">
        <v>86</v>
      </c>
      <c r="B40" s="15"/>
      <c r="C40" s="21">
        <v>0.13291422</v>
      </c>
      <c r="D40" s="17"/>
      <c r="E40" s="21">
        <v>0.14620564</v>
      </c>
    </row>
    <row r="41" spans="1:5" x14ac:dyDescent="0.25">
      <c r="A41" s="20">
        <v>87</v>
      </c>
      <c r="B41" s="15"/>
      <c r="C41" s="21">
        <v>0.14515086999999999</v>
      </c>
      <c r="D41" s="17"/>
      <c r="E41" s="21">
        <v>0.15966596</v>
      </c>
    </row>
    <row r="42" spans="1:5" x14ac:dyDescent="0.25">
      <c r="A42" s="20">
        <v>88</v>
      </c>
      <c r="B42" s="15"/>
      <c r="C42" s="21">
        <v>0.15827172</v>
      </c>
      <c r="D42" s="17"/>
      <c r="E42" s="21">
        <v>0.17409889000000001</v>
      </c>
    </row>
    <row r="43" spans="1:5" x14ac:dyDescent="0.25">
      <c r="A43" s="20">
        <v>89</v>
      </c>
      <c r="B43" s="15"/>
      <c r="C43" s="21">
        <v>0.17230765000000001</v>
      </c>
      <c r="D43" s="17"/>
      <c r="E43" s="21">
        <v>0.18953842000000001</v>
      </c>
    </row>
    <row r="44" spans="1:5" x14ac:dyDescent="0.25">
      <c r="A44" s="20">
        <v>90</v>
      </c>
      <c r="B44" s="15"/>
      <c r="C44" s="21">
        <v>0.18728732000000001</v>
      </c>
      <c r="D44" s="17"/>
      <c r="E44" s="21">
        <v>0.20601605000000001</v>
      </c>
    </row>
    <row r="45" spans="1:5" x14ac:dyDescent="0.25">
      <c r="A45" s="20">
        <v>91</v>
      </c>
      <c r="B45" s="15"/>
      <c r="C45" s="21">
        <v>0.20323719000000001</v>
      </c>
      <c r="D45" s="17"/>
      <c r="E45" s="21">
        <v>0.22356090000000001</v>
      </c>
    </row>
    <row r="46" spans="1:5" x14ac:dyDescent="0.25">
      <c r="A46" s="20">
        <v>92</v>
      </c>
      <c r="B46" s="15"/>
      <c r="C46" s="21">
        <v>0.22017709999999999</v>
      </c>
      <c r="D46" s="17"/>
      <c r="E46" s="21">
        <v>0.24219481000000001</v>
      </c>
    </row>
    <row r="47" spans="1:5" x14ac:dyDescent="0.25">
      <c r="A47" s="20">
        <v>93</v>
      </c>
      <c r="B47" s="15"/>
      <c r="C47" s="21">
        <v>0.23812029000000001</v>
      </c>
      <c r="D47" s="17"/>
      <c r="E47" s="21">
        <v>0.26193231</v>
      </c>
    </row>
    <row r="48" spans="1:5" x14ac:dyDescent="0.25">
      <c r="A48" s="20">
        <v>94</v>
      </c>
      <c r="B48" s="15"/>
      <c r="C48" s="21">
        <v>0.25707667000000001</v>
      </c>
      <c r="D48" s="17"/>
      <c r="E48" s="21">
        <v>0.28278434000000002</v>
      </c>
    </row>
    <row r="49" spans="1:5" x14ac:dyDescent="0.25">
      <c r="A49" s="20">
        <v>95</v>
      </c>
      <c r="B49" s="15"/>
      <c r="C49" s="21">
        <v>0.27704736000000002</v>
      </c>
      <c r="D49" s="17"/>
      <c r="E49" s="21">
        <v>0.30475208999999998</v>
      </c>
    </row>
    <row r="50" spans="1:5" x14ac:dyDescent="0.25">
      <c r="A50" s="20">
        <v>96</v>
      </c>
      <c r="B50" s="15"/>
      <c r="C50" s="21">
        <v>0.29802351999999999</v>
      </c>
      <c r="D50" s="17"/>
      <c r="E50" s="21">
        <v>0.32782587000000002</v>
      </c>
    </row>
    <row r="51" spans="1:5" x14ac:dyDescent="0.25">
      <c r="A51" s="20">
        <v>97</v>
      </c>
      <c r="B51" s="15"/>
      <c r="C51" s="21">
        <v>0.31999083</v>
      </c>
      <c r="D51" s="17"/>
      <c r="E51" s="21">
        <v>0.35198992000000001</v>
      </c>
    </row>
    <row r="52" spans="1:5" x14ac:dyDescent="0.25">
      <c r="A52" s="20">
        <v>98</v>
      </c>
      <c r="B52" s="15"/>
      <c r="C52" s="21">
        <v>0.34292393999999998</v>
      </c>
      <c r="D52" s="17"/>
      <c r="E52" s="21">
        <v>0.37721632999999999</v>
      </c>
    </row>
    <row r="53" spans="1:5" x14ac:dyDescent="0.25">
      <c r="A53" s="20">
        <v>99</v>
      </c>
      <c r="B53" s="15"/>
      <c r="C53" s="21">
        <v>0.36678644999999999</v>
      </c>
      <c r="D53" s="17"/>
      <c r="E53" s="21">
        <v>0.40346509000000003</v>
      </c>
    </row>
    <row r="54" spans="1:5" x14ac:dyDescent="0.25">
      <c r="A54" s="20">
        <v>100</v>
      </c>
      <c r="B54" s="15"/>
      <c r="C54" s="21">
        <v>0.39153426000000002</v>
      </c>
      <c r="D54" s="17"/>
      <c r="E54" s="21">
        <v>0.43068769000000001</v>
      </c>
    </row>
    <row r="55" spans="1:5" x14ac:dyDescent="0.25">
      <c r="A55" s="20">
        <v>101</v>
      </c>
      <c r="B55" s="15"/>
      <c r="C55" s="21">
        <v>0.41710895999999997</v>
      </c>
      <c r="D55" s="17"/>
      <c r="E55" s="21">
        <v>0.45881984999999997</v>
      </c>
    </row>
    <row r="56" spans="1:5" x14ac:dyDescent="0.25">
      <c r="A56" s="20">
        <v>102</v>
      </c>
      <c r="B56" s="15"/>
      <c r="C56" s="21">
        <v>0.44344327</v>
      </c>
      <c r="D56" s="17"/>
      <c r="E56" s="21">
        <v>0.48778759999999999</v>
      </c>
    </row>
    <row r="57" spans="1:5" x14ac:dyDescent="0.25">
      <c r="A57" s="20">
        <v>103</v>
      </c>
      <c r="B57" s="15"/>
      <c r="C57" s="21">
        <v>0.47045672999999999</v>
      </c>
      <c r="D57" s="17"/>
      <c r="E57" s="21">
        <v>0.51750240000000003</v>
      </c>
    </row>
    <row r="58" spans="1:5" x14ac:dyDescent="0.25">
      <c r="A58" s="20">
        <v>104</v>
      </c>
      <c r="B58" s="15"/>
      <c r="C58" s="21">
        <v>0.49806001999999999</v>
      </c>
      <c r="D58" s="17"/>
      <c r="E58" s="21">
        <v>0.54786601999999995</v>
      </c>
    </row>
    <row r="59" spans="1:5" x14ac:dyDescent="0.25">
      <c r="A59" s="20">
        <v>105</v>
      </c>
      <c r="B59" s="15"/>
      <c r="C59" s="21">
        <v>0.52615281999999997</v>
      </c>
      <c r="D59" s="17"/>
      <c r="E59" s="21">
        <v>0.57876810000000001</v>
      </c>
    </row>
    <row r="60" spans="1:5" x14ac:dyDescent="0.25">
      <c r="A60" s="20">
        <v>106</v>
      </c>
      <c r="B60" s="15"/>
      <c r="C60" s="21">
        <v>0.55462378000000001</v>
      </c>
      <c r="D60" s="17"/>
      <c r="E60" s="21">
        <v>0.61008616000000004</v>
      </c>
    </row>
    <row r="61" spans="1:5" x14ac:dyDescent="0.25">
      <c r="A61" s="20">
        <v>107</v>
      </c>
      <c r="B61" s="15"/>
      <c r="C61" s="21">
        <v>0.58335603000000003</v>
      </c>
      <c r="D61" s="17"/>
      <c r="E61" s="21">
        <v>0.64169164000000001</v>
      </c>
    </row>
    <row r="62" spans="1:5" x14ac:dyDescent="0.25">
      <c r="A62" s="20">
        <v>108</v>
      </c>
      <c r="B62" s="15"/>
      <c r="C62" s="21">
        <v>0.61222058999999995</v>
      </c>
      <c r="D62" s="17"/>
      <c r="E62" s="21">
        <v>0.67344263999999998</v>
      </c>
    </row>
    <row r="63" spans="1:5" x14ac:dyDescent="0.25">
      <c r="A63" s="20">
        <v>109</v>
      </c>
      <c r="B63" s="15"/>
      <c r="C63" s="21">
        <v>0.64108734000000001</v>
      </c>
      <c r="D63" s="17"/>
      <c r="E63" s="21">
        <v>0.70519608</v>
      </c>
    </row>
    <row r="64" spans="1:5" x14ac:dyDescent="0.25">
      <c r="A64" s="20">
        <v>110</v>
      </c>
      <c r="B64" s="15"/>
      <c r="C64" s="21">
        <v>0.66981959999999996</v>
      </c>
      <c r="D64" s="17"/>
      <c r="E64" s="21">
        <v>0.73680155000000003</v>
      </c>
    </row>
    <row r="65" spans="1:5" x14ac:dyDescent="0.25">
      <c r="A65" s="20">
        <v>111</v>
      </c>
      <c r="B65" s="15"/>
      <c r="C65" s="21">
        <v>0.69827843000000001</v>
      </c>
      <c r="D65" s="17"/>
      <c r="E65" s="21">
        <v>0.76810626999999998</v>
      </c>
    </row>
    <row r="66" spans="1:5" x14ac:dyDescent="0.25">
      <c r="A66" s="20">
        <v>112</v>
      </c>
      <c r="B66" s="15"/>
      <c r="C66" s="21">
        <v>0.72632602999999996</v>
      </c>
      <c r="D66" s="17"/>
      <c r="E66" s="21">
        <v>0.79895863</v>
      </c>
    </row>
    <row r="67" spans="1:5" x14ac:dyDescent="0.25">
      <c r="A67" s="20">
        <v>113</v>
      </c>
      <c r="B67" s="15"/>
      <c r="C67" s="21">
        <v>0.75382568999999999</v>
      </c>
      <c r="D67" s="17"/>
      <c r="E67" s="21">
        <v>0.82920824999999998</v>
      </c>
    </row>
    <row r="68" spans="1:5" x14ac:dyDescent="0.25">
      <c r="A68" s="20">
        <v>114</v>
      </c>
      <c r="B68" s="15"/>
      <c r="C68" s="21">
        <v>0.78064730999999998</v>
      </c>
      <c r="D68" s="17"/>
      <c r="E68" s="21">
        <v>0.85871204000000001</v>
      </c>
    </row>
    <row r="69" spans="1:5" x14ac:dyDescent="0.25">
      <c r="A69" s="20">
        <v>115</v>
      </c>
      <c r="B69" s="15"/>
      <c r="C69" s="21">
        <v>0.80666631</v>
      </c>
      <c r="D69" s="17"/>
      <c r="E69" s="21">
        <v>0.88733293999999996</v>
      </c>
    </row>
    <row r="70" spans="1:5" x14ac:dyDescent="0.25">
      <c r="A70" s="20">
        <v>116</v>
      </c>
      <c r="B70" s="15"/>
      <c r="C70" s="21">
        <v>0.83176691999999997</v>
      </c>
      <c r="D70" s="17"/>
      <c r="E70" s="21">
        <v>0.91494361000000002</v>
      </c>
    </row>
    <row r="71" spans="1:5" x14ac:dyDescent="0.25">
      <c r="A71" s="20">
        <v>117</v>
      </c>
      <c r="B71" s="15"/>
      <c r="C71" s="21">
        <v>0.85584442000000005</v>
      </c>
      <c r="D71" s="17"/>
      <c r="E71" s="21">
        <v>0.94142886000000003</v>
      </c>
    </row>
    <row r="72" spans="1:5" x14ac:dyDescent="0.25">
      <c r="A72" s="20">
        <v>118</v>
      </c>
      <c r="B72" s="15"/>
      <c r="C72" s="21">
        <v>0.87880838999999999</v>
      </c>
      <c r="D72" s="17"/>
      <c r="E72" s="21">
        <v>0.96668922999999995</v>
      </c>
    </row>
    <row r="73" spans="1:5" x14ac:dyDescent="0.25">
      <c r="A73" s="20">
        <v>119</v>
      </c>
      <c r="B73" s="15"/>
      <c r="C73" s="21">
        <v>0.90058055999999997</v>
      </c>
      <c r="D73" s="17"/>
      <c r="E73" s="21">
        <v>0.99063862000000003</v>
      </c>
    </row>
    <row r="74" spans="1:5" x14ac:dyDescent="0.25">
      <c r="A74" s="20">
        <v>120</v>
      </c>
      <c r="B74" s="15"/>
      <c r="C74" s="29">
        <v>1</v>
      </c>
      <c r="D74" s="17"/>
      <c r="E74" s="29">
        <v>1</v>
      </c>
    </row>
  </sheetData>
  <mergeCells count="9">
    <mergeCell ref="G8:H9"/>
    <mergeCell ref="H10:H12"/>
    <mergeCell ref="G10:G12"/>
    <mergeCell ref="J1:K1"/>
    <mergeCell ref="G1:H1"/>
    <mergeCell ref="H4:H5"/>
    <mergeCell ref="G4:G5"/>
    <mergeCell ref="G6:G7"/>
    <mergeCell ref="H6:H7"/>
  </mergeCells>
  <printOptions gridLines="1"/>
  <pageMargins left="0.7" right="0.7" top="0.75" bottom="0.75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80"/>
  <sheetViews>
    <sheetView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8" sqref="F8"/>
    </sheetView>
  </sheetViews>
  <sheetFormatPr defaultRowHeight="15" x14ac:dyDescent="0.25"/>
  <cols>
    <col min="1" max="5" width="9.140625" style="106"/>
    <col min="6" max="7" width="14.28515625" style="106" bestFit="1" customWidth="1"/>
    <col min="8" max="8" width="10.7109375" style="106" bestFit="1" customWidth="1"/>
    <col min="9" max="9" width="14.5703125" style="106" bestFit="1" customWidth="1"/>
    <col min="10" max="10" width="13.5703125" style="106" customWidth="1"/>
    <col min="11" max="11" width="15.28515625" style="106" bestFit="1" customWidth="1"/>
    <col min="12" max="12" width="11.5703125" style="106" bestFit="1" customWidth="1"/>
    <col min="13" max="13" width="15.28515625" style="106" bestFit="1" customWidth="1"/>
    <col min="14" max="14" width="14.28515625" style="106" bestFit="1" customWidth="1"/>
    <col min="15" max="15" width="11.28515625" style="106" customWidth="1"/>
    <col min="16" max="17" width="14.5703125" style="106" bestFit="1" customWidth="1"/>
    <col min="18" max="18" width="14.42578125" style="106" bestFit="1" customWidth="1"/>
    <col min="19" max="19" width="11.5703125" style="106" bestFit="1" customWidth="1"/>
    <col min="20" max="20" width="14.28515625" style="106" bestFit="1" customWidth="1"/>
    <col min="21" max="21" width="15.28515625" style="106" bestFit="1" customWidth="1"/>
    <col min="22" max="22" width="11.28515625" style="106" customWidth="1"/>
    <col min="23" max="24" width="14.5703125" style="106" bestFit="1" customWidth="1"/>
    <col min="25" max="25" width="15.28515625" style="106" bestFit="1" customWidth="1"/>
    <col min="26" max="16384" width="9.140625" style="106"/>
  </cols>
  <sheetData>
    <row r="1" spans="1:27" x14ac:dyDescent="0.25">
      <c r="F1" s="388" t="s">
        <v>34</v>
      </c>
      <c r="G1" s="388"/>
      <c r="H1" s="388"/>
      <c r="I1" s="388"/>
      <c r="J1" s="388"/>
      <c r="K1" s="388"/>
      <c r="L1" s="389" t="s">
        <v>34</v>
      </c>
      <c r="M1" s="389"/>
      <c r="N1" s="389"/>
      <c r="O1" s="389"/>
      <c r="P1" s="389"/>
      <c r="Q1" s="389"/>
      <c r="R1" s="389"/>
      <c r="S1" s="406" t="s">
        <v>34</v>
      </c>
      <c r="T1" s="390" t="s">
        <v>34</v>
      </c>
      <c r="U1" s="390"/>
      <c r="V1" s="390" t="s">
        <v>34</v>
      </c>
      <c r="W1" s="390"/>
      <c r="X1" s="390" t="s">
        <v>34</v>
      </c>
      <c r="Y1" s="390"/>
      <c r="AA1" s="109"/>
    </row>
    <row r="2" spans="1:27" x14ac:dyDescent="0.25">
      <c r="F2" s="323" t="s">
        <v>108</v>
      </c>
      <c r="G2" s="324"/>
      <c r="H2" s="325" t="s">
        <v>138</v>
      </c>
      <c r="I2" s="324"/>
      <c r="J2" s="324"/>
      <c r="K2" s="294"/>
      <c r="L2" s="311"/>
      <c r="M2" s="312" t="s">
        <v>109</v>
      </c>
      <c r="N2" s="312"/>
      <c r="O2" s="313" t="s">
        <v>139</v>
      </c>
      <c r="P2" s="312"/>
      <c r="Q2" s="312"/>
      <c r="R2" s="314"/>
      <c r="S2" s="337"/>
      <c r="T2" s="289" t="s">
        <v>140</v>
      </c>
      <c r="U2" s="289"/>
      <c r="V2" s="338" t="s">
        <v>141</v>
      </c>
      <c r="W2" s="289"/>
      <c r="X2" s="289"/>
      <c r="Y2" s="339"/>
      <c r="AA2" s="138"/>
    </row>
    <row r="3" spans="1:27" x14ac:dyDescent="0.25">
      <c r="F3" s="391" t="s">
        <v>111</v>
      </c>
      <c r="G3" s="392"/>
      <c r="H3" s="326" t="s">
        <v>98</v>
      </c>
      <c r="I3" s="327">
        <v>1.05</v>
      </c>
      <c r="J3" s="326" t="s">
        <v>103</v>
      </c>
      <c r="K3" s="295" t="s">
        <v>105</v>
      </c>
      <c r="L3" s="300"/>
      <c r="M3" s="393" t="s">
        <v>111</v>
      </c>
      <c r="N3" s="393"/>
      <c r="O3" s="298" t="s">
        <v>98</v>
      </c>
      <c r="P3" s="315">
        <v>1.05</v>
      </c>
      <c r="Q3" s="298" t="s">
        <v>103</v>
      </c>
      <c r="R3" s="316" t="s">
        <v>105</v>
      </c>
      <c r="S3" s="340"/>
      <c r="T3" s="394" t="s">
        <v>111</v>
      </c>
      <c r="U3" s="394"/>
      <c r="V3" s="290" t="s">
        <v>98</v>
      </c>
      <c r="W3" s="341">
        <v>1.05</v>
      </c>
      <c r="X3" s="290" t="s">
        <v>103</v>
      </c>
      <c r="Y3" s="342" t="s">
        <v>105</v>
      </c>
      <c r="AA3" s="113"/>
    </row>
    <row r="4" spans="1:27" x14ac:dyDescent="0.25">
      <c r="B4" s="106" t="s">
        <v>76</v>
      </c>
      <c r="C4" s="115">
        <f>'Q2 (i) and (ii)'!C4</f>
        <v>0.06</v>
      </c>
      <c r="F4" s="328" t="s">
        <v>112</v>
      </c>
      <c r="G4" s="329">
        <v>1500000</v>
      </c>
      <c r="H4" s="330">
        <v>55000</v>
      </c>
      <c r="I4" s="327">
        <v>0.01</v>
      </c>
      <c r="J4" s="330">
        <f>'Q2 (iii) (a)'!F18</f>
        <v>271473.99039556156</v>
      </c>
      <c r="K4" s="296">
        <f>'Q2 (iii) (a)'!F16</f>
        <v>1271310.3217647807</v>
      </c>
      <c r="L4" s="300"/>
      <c r="M4" s="299" t="s">
        <v>112</v>
      </c>
      <c r="N4" s="317">
        <v>1500000</v>
      </c>
      <c r="O4" s="318">
        <v>55000</v>
      </c>
      <c r="P4" s="315">
        <v>0.01</v>
      </c>
      <c r="Q4" s="318">
        <f>J4</f>
        <v>271473.99039556156</v>
      </c>
      <c r="R4" s="319">
        <f>K4</f>
        <v>1271310.3217647807</v>
      </c>
      <c r="S4" s="340"/>
      <c r="T4" s="343" t="s">
        <v>112</v>
      </c>
      <c r="U4" s="344">
        <v>1500000</v>
      </c>
      <c r="V4" s="291">
        <v>55000</v>
      </c>
      <c r="W4" s="341">
        <v>0.01</v>
      </c>
      <c r="X4" s="291">
        <f>Q4</f>
        <v>271473.99039556156</v>
      </c>
      <c r="Y4" s="345">
        <f>R4</f>
        <v>1271310.3217647807</v>
      </c>
    </row>
    <row r="5" spans="1:27" x14ac:dyDescent="0.25">
      <c r="F5" s="413" t="s">
        <v>247</v>
      </c>
      <c r="G5" s="414"/>
      <c r="H5" s="414"/>
      <c r="I5" s="414"/>
      <c r="J5" s="414"/>
      <c r="K5" s="415"/>
      <c r="L5" s="300"/>
      <c r="M5" s="409" t="s">
        <v>248</v>
      </c>
      <c r="N5" s="409"/>
      <c r="O5" s="409"/>
      <c r="P5" s="409"/>
      <c r="Q5" s="409"/>
      <c r="R5" s="409"/>
      <c r="S5" s="346"/>
      <c r="T5" s="407" t="s">
        <v>249</v>
      </c>
      <c r="U5" s="407"/>
      <c r="V5" s="407"/>
      <c r="W5" s="407"/>
      <c r="X5" s="407"/>
      <c r="Y5" s="407"/>
      <c r="Z5" s="117"/>
    </row>
    <row r="6" spans="1:27" x14ac:dyDescent="0.25">
      <c r="A6" s="106" t="s">
        <v>113</v>
      </c>
      <c r="B6" s="106" t="s">
        <v>36</v>
      </c>
      <c r="C6" s="106" t="s">
        <v>114</v>
      </c>
      <c r="D6" s="106" t="s">
        <v>115</v>
      </c>
      <c r="E6" s="106" t="s">
        <v>116</v>
      </c>
      <c r="F6" s="416" t="s">
        <v>244</v>
      </c>
      <c r="G6" s="417" t="s">
        <v>245</v>
      </c>
      <c r="H6" s="417" t="s">
        <v>250</v>
      </c>
      <c r="I6" s="417" t="s">
        <v>246</v>
      </c>
      <c r="J6" s="417" t="s">
        <v>246</v>
      </c>
      <c r="K6" s="417" t="s">
        <v>246</v>
      </c>
      <c r="L6" s="412" t="s">
        <v>117</v>
      </c>
      <c r="M6" s="410" t="s">
        <v>244</v>
      </c>
      <c r="N6" s="410" t="s">
        <v>245</v>
      </c>
      <c r="O6" s="410" t="s">
        <v>250</v>
      </c>
      <c r="P6" s="410" t="s">
        <v>246</v>
      </c>
      <c r="Q6" s="410" t="s">
        <v>246</v>
      </c>
      <c r="R6" s="410" t="s">
        <v>246</v>
      </c>
      <c r="S6" s="411" t="s">
        <v>142</v>
      </c>
      <c r="T6" s="408" t="s">
        <v>244</v>
      </c>
      <c r="U6" s="408" t="s">
        <v>245</v>
      </c>
      <c r="V6" s="408" t="s">
        <v>250</v>
      </c>
      <c r="W6" s="408" t="s">
        <v>246</v>
      </c>
      <c r="X6" s="408" t="s">
        <v>246</v>
      </c>
      <c r="Y6" s="408" t="s">
        <v>246</v>
      </c>
      <c r="Z6" s="117"/>
    </row>
    <row r="7" spans="1:27" x14ac:dyDescent="0.25">
      <c r="F7" s="331"/>
      <c r="G7" s="326"/>
      <c r="H7" s="326"/>
      <c r="I7" s="326"/>
      <c r="J7" s="330"/>
      <c r="K7" s="296"/>
      <c r="L7" s="300"/>
      <c r="M7" s="298"/>
      <c r="N7" s="298"/>
      <c r="O7" s="298"/>
      <c r="P7" s="298"/>
      <c r="Q7" s="318"/>
      <c r="R7" s="319"/>
      <c r="S7" s="340"/>
      <c r="T7" s="290"/>
      <c r="U7" s="290"/>
      <c r="V7" s="290"/>
      <c r="W7" s="290"/>
      <c r="X7" s="291"/>
      <c r="Y7" s="345"/>
    </row>
    <row r="8" spans="1:27" x14ac:dyDescent="0.25">
      <c r="A8" s="106">
        <v>0</v>
      </c>
      <c r="B8" s="106">
        <v>30</v>
      </c>
      <c r="C8" s="106">
        <f t="shared" ref="C8:C39" si="0">(1+$C$4)^-A8</f>
        <v>1</v>
      </c>
      <c r="F8" s="332">
        <f>C8*D8*$G$4*E8</f>
        <v>0</v>
      </c>
      <c r="G8" s="330"/>
      <c r="H8" s="330"/>
      <c r="I8" s="330"/>
      <c r="J8" s="330"/>
      <c r="K8" s="296"/>
      <c r="L8" s="300">
        <f t="shared" ref="L8:L39" si="1">(1+$C$4)^-(A8+1)</f>
        <v>0.94339622641509424</v>
      </c>
      <c r="M8" s="318">
        <f>L8*D8*$G$4*E8*A8</f>
        <v>0</v>
      </c>
      <c r="N8" s="318"/>
      <c r="O8" s="318"/>
      <c r="P8" s="318"/>
      <c r="Q8" s="318"/>
      <c r="R8" s="319"/>
      <c r="S8" s="347">
        <f t="shared" ref="S8:S39" si="2">(1+$C$4)^-(A8+2)</f>
        <v>0.88999644001423983</v>
      </c>
      <c r="T8" s="291">
        <f>S8*D8*$G$4*E8*A8*(A8+1)</f>
        <v>0</v>
      </c>
      <c r="U8" s="291"/>
      <c r="V8" s="291"/>
      <c r="W8" s="291"/>
      <c r="X8" s="291"/>
      <c r="Y8" s="345"/>
    </row>
    <row r="9" spans="1:27" x14ac:dyDescent="0.25">
      <c r="A9" s="106">
        <f t="shared" ref="A9:A40" si="3">0.5+A8</f>
        <v>0.5</v>
      </c>
      <c r="B9" s="106">
        <f t="shared" ref="B9:B40" si="4">$B$8+A9</f>
        <v>30.5</v>
      </c>
      <c r="C9" s="106">
        <f t="shared" si="0"/>
        <v>0.97128586235726422</v>
      </c>
      <c r="F9" s="332">
        <f>C9*D9*$G$4*E9</f>
        <v>0</v>
      </c>
      <c r="G9" s="330"/>
      <c r="H9" s="330">
        <f t="shared" ref="H9:H48" si="5">$H$4*C9*$I$4/2</f>
        <v>267.10361214824769</v>
      </c>
      <c r="I9" s="330"/>
      <c r="J9" s="330"/>
      <c r="K9" s="296"/>
      <c r="L9" s="300">
        <f t="shared" si="1"/>
        <v>0.91630741731817356</v>
      </c>
      <c r="M9" s="318">
        <f>L9*D9*$G$4*E9*A9</f>
        <v>0</v>
      </c>
      <c r="N9" s="318"/>
      <c r="O9" s="318">
        <f t="shared" ref="O9:O48" si="6">$H$4*L9*$I$4/2*A9</f>
        <v>125.99226988124887</v>
      </c>
      <c r="P9" s="318"/>
      <c r="Q9" s="318"/>
      <c r="R9" s="319"/>
      <c r="S9" s="347">
        <f t="shared" si="2"/>
        <v>0.86444095973412605</v>
      </c>
      <c r="T9" s="291">
        <f>S9*D9*$G$4*E9*A9*(A9+1)</f>
        <v>0</v>
      </c>
      <c r="U9" s="291"/>
      <c r="V9" s="291">
        <f t="shared" ref="V9:V48" si="7">$H$4*S9*$I$4/2*A9*(A9+1)</f>
        <v>178.29094794516351</v>
      </c>
      <c r="W9" s="291"/>
      <c r="X9" s="291"/>
      <c r="Y9" s="345"/>
    </row>
    <row r="10" spans="1:27" x14ac:dyDescent="0.25">
      <c r="A10" s="106">
        <f t="shared" si="3"/>
        <v>1</v>
      </c>
      <c r="B10" s="106">
        <f t="shared" si="4"/>
        <v>31</v>
      </c>
      <c r="C10" s="106">
        <f t="shared" si="0"/>
        <v>0.94339622641509424</v>
      </c>
      <c r="D10" s="106">
        <f>'Q2 Base'!B14</f>
        <v>4.4299999999999998E-4</v>
      </c>
      <c r="E10" s="106">
        <v>1</v>
      </c>
      <c r="F10" s="332">
        <f>C10*D10*$G$4*E10</f>
        <v>626.88679245283015</v>
      </c>
      <c r="G10" s="330"/>
      <c r="H10" s="330">
        <f t="shared" si="5"/>
        <v>259.43396226415092</v>
      </c>
      <c r="I10" s="330"/>
      <c r="J10" s="330"/>
      <c r="K10" s="296"/>
      <c r="L10" s="300">
        <f t="shared" si="1"/>
        <v>0.88999644001423983</v>
      </c>
      <c r="M10" s="318">
        <f>L10*D10*$G$4*E10*A10</f>
        <v>591.40263438946226</v>
      </c>
      <c r="N10" s="318"/>
      <c r="O10" s="318">
        <f t="shared" si="6"/>
        <v>244.74902100391594</v>
      </c>
      <c r="P10" s="318"/>
      <c r="Q10" s="318"/>
      <c r="R10" s="319"/>
      <c r="S10" s="347">
        <f t="shared" si="2"/>
        <v>0.8396192830323016</v>
      </c>
      <c r="T10" s="291">
        <f>S10*D10*$G$4*E10*A10*(A10+1)</f>
        <v>1115.8540271499289</v>
      </c>
      <c r="U10" s="291"/>
      <c r="V10" s="291">
        <f t="shared" si="7"/>
        <v>461.79060566776587</v>
      </c>
      <c r="W10" s="291"/>
      <c r="X10" s="291"/>
      <c r="Y10" s="345"/>
    </row>
    <row r="11" spans="1:27" x14ac:dyDescent="0.25">
      <c r="A11" s="106">
        <f t="shared" si="3"/>
        <v>1.5</v>
      </c>
      <c r="B11" s="106">
        <f t="shared" si="4"/>
        <v>31.5</v>
      </c>
      <c r="C11" s="106">
        <f t="shared" si="0"/>
        <v>0.91630741731817356</v>
      </c>
      <c r="F11" s="332"/>
      <c r="G11" s="330"/>
      <c r="H11" s="330">
        <f t="shared" si="5"/>
        <v>251.98453976249775</v>
      </c>
      <c r="I11" s="330"/>
      <c r="J11" s="330"/>
      <c r="K11" s="296"/>
      <c r="L11" s="300">
        <f t="shared" si="1"/>
        <v>0.86444095973412605</v>
      </c>
      <c r="M11" s="318"/>
      <c r="N11" s="318"/>
      <c r="O11" s="318">
        <f t="shared" si="6"/>
        <v>356.58189589032702</v>
      </c>
      <c r="P11" s="318"/>
      <c r="Q11" s="318"/>
      <c r="R11" s="319"/>
      <c r="S11" s="347">
        <f t="shared" si="2"/>
        <v>0.81551033937181705</v>
      </c>
      <c r="T11" s="291"/>
      <c r="U11" s="291"/>
      <c r="V11" s="291">
        <f t="shared" si="7"/>
        <v>840.99503747718643</v>
      </c>
      <c r="W11" s="291"/>
      <c r="X11" s="291"/>
      <c r="Y11" s="345"/>
    </row>
    <row r="12" spans="1:27" x14ac:dyDescent="0.25">
      <c r="A12" s="106">
        <f t="shared" si="3"/>
        <v>2</v>
      </c>
      <c r="B12" s="106">
        <f t="shared" si="4"/>
        <v>32</v>
      </c>
      <c r="C12" s="106">
        <f t="shared" si="0"/>
        <v>0.88999644001423983</v>
      </c>
      <c r="D12" s="106">
        <f>'Q2 Base'!B15</f>
        <v>4.5600000000000003E-4</v>
      </c>
      <c r="E12" s="106">
        <f>(1-D10)*E10</f>
        <v>0.99955700000000003</v>
      </c>
      <c r="F12" s="332">
        <f>C12*D12*$G$4*E12</f>
        <v>608.48788536845848</v>
      </c>
      <c r="G12" s="330"/>
      <c r="H12" s="330">
        <f t="shared" si="5"/>
        <v>244.74902100391594</v>
      </c>
      <c r="I12" s="330"/>
      <c r="J12" s="330"/>
      <c r="K12" s="296"/>
      <c r="L12" s="300">
        <f t="shared" si="1"/>
        <v>0.8396192830323016</v>
      </c>
      <c r="M12" s="318">
        <f>L12*D12*$G$4*E12*A12</f>
        <v>1148.0903497518082</v>
      </c>
      <c r="N12" s="318"/>
      <c r="O12" s="318">
        <f t="shared" si="6"/>
        <v>461.79060566776587</v>
      </c>
      <c r="P12" s="318"/>
      <c r="Q12" s="318"/>
      <c r="R12" s="319"/>
      <c r="S12" s="347">
        <f t="shared" si="2"/>
        <v>0.79209366323802044</v>
      </c>
      <c r="T12" s="291">
        <f>S12*D12*$G$4*E12*A12*(A12+1)</f>
        <v>3249.3123106183257</v>
      </c>
      <c r="U12" s="291"/>
      <c r="V12" s="291">
        <f t="shared" si="7"/>
        <v>1306.9545443427337</v>
      </c>
      <c r="W12" s="291"/>
      <c r="X12" s="291"/>
      <c r="Y12" s="345"/>
    </row>
    <row r="13" spans="1:27" x14ac:dyDescent="0.25">
      <c r="A13" s="106">
        <f t="shared" si="3"/>
        <v>2.5</v>
      </c>
      <c r="B13" s="106">
        <f t="shared" si="4"/>
        <v>32.5</v>
      </c>
      <c r="C13" s="106">
        <f t="shared" si="0"/>
        <v>0.86444095973412605</v>
      </c>
      <c r="F13" s="332"/>
      <c r="G13" s="330"/>
      <c r="H13" s="330">
        <f t="shared" si="5"/>
        <v>237.72126392688469</v>
      </c>
      <c r="I13" s="330"/>
      <c r="J13" s="330"/>
      <c r="K13" s="296"/>
      <c r="L13" s="300">
        <f t="shared" si="1"/>
        <v>0.81551033937181705</v>
      </c>
      <c r="M13" s="318"/>
      <c r="N13" s="318"/>
      <c r="O13" s="318">
        <f t="shared" si="6"/>
        <v>560.66335831812421</v>
      </c>
      <c r="P13" s="318"/>
      <c r="Q13" s="318"/>
      <c r="R13" s="319"/>
      <c r="S13" s="347">
        <f t="shared" si="2"/>
        <v>0.76934937676586501</v>
      </c>
      <c r="T13" s="291"/>
      <c r="U13" s="291"/>
      <c r="V13" s="291">
        <f t="shared" si="7"/>
        <v>1851.246937842863</v>
      </c>
      <c r="W13" s="291"/>
      <c r="X13" s="291"/>
      <c r="Y13" s="345"/>
    </row>
    <row r="14" spans="1:27" x14ac:dyDescent="0.25">
      <c r="A14" s="106">
        <f t="shared" si="3"/>
        <v>3</v>
      </c>
      <c r="B14" s="106">
        <f t="shared" si="4"/>
        <v>33</v>
      </c>
      <c r="C14" s="106">
        <f t="shared" si="0"/>
        <v>0.8396192830323016</v>
      </c>
      <c r="D14" s="106">
        <f>'Q2 Base'!B16</f>
        <v>4.7100000000000001E-4</v>
      </c>
      <c r="E14" s="106">
        <f>(1-D12)*E12</f>
        <v>0.99910120200800001</v>
      </c>
      <c r="F14" s="332">
        <f>C14*D14*$G$4*E14</f>
        <v>592.6578645615607</v>
      </c>
      <c r="G14" s="330"/>
      <c r="H14" s="330">
        <f t="shared" si="5"/>
        <v>230.89530283388294</v>
      </c>
      <c r="I14" s="330"/>
      <c r="J14" s="330"/>
      <c r="K14" s="296"/>
      <c r="L14" s="300">
        <f t="shared" si="1"/>
        <v>0.79209366323802044</v>
      </c>
      <c r="M14" s="318">
        <f>L14*D14*$G$4*E14*A14</f>
        <v>1677.3335789478135</v>
      </c>
      <c r="N14" s="318"/>
      <c r="O14" s="318">
        <f t="shared" si="6"/>
        <v>653.47727217136685</v>
      </c>
      <c r="P14" s="318"/>
      <c r="Q14" s="318"/>
      <c r="R14" s="319"/>
      <c r="S14" s="347">
        <f t="shared" si="2"/>
        <v>0.74725817286605689</v>
      </c>
      <c r="T14" s="291">
        <f>S14*D14*$G$4*E14*A14*(A14+1)</f>
        <v>6329.5606752747681</v>
      </c>
      <c r="U14" s="291"/>
      <c r="V14" s="291">
        <f t="shared" si="7"/>
        <v>2465.951970457988</v>
      </c>
      <c r="W14" s="291"/>
      <c r="X14" s="291"/>
      <c r="Y14" s="345"/>
    </row>
    <row r="15" spans="1:27" x14ac:dyDescent="0.25">
      <c r="A15" s="106">
        <f t="shared" si="3"/>
        <v>3.5</v>
      </c>
      <c r="B15" s="106">
        <f t="shared" si="4"/>
        <v>33.5</v>
      </c>
      <c r="C15" s="106">
        <f t="shared" si="0"/>
        <v>0.81551033937181705</v>
      </c>
      <c r="F15" s="332"/>
      <c r="G15" s="330"/>
      <c r="H15" s="330">
        <f t="shared" si="5"/>
        <v>224.2653433272497</v>
      </c>
      <c r="I15" s="330"/>
      <c r="J15" s="330"/>
      <c r="K15" s="296"/>
      <c r="L15" s="300">
        <f t="shared" si="1"/>
        <v>0.76934937676586501</v>
      </c>
      <c r="M15" s="318"/>
      <c r="N15" s="318"/>
      <c r="O15" s="318">
        <f t="shared" si="6"/>
        <v>740.49877513714512</v>
      </c>
      <c r="P15" s="318"/>
      <c r="Q15" s="318"/>
      <c r="R15" s="319"/>
      <c r="S15" s="347">
        <f t="shared" si="2"/>
        <v>0.72580129883572175</v>
      </c>
      <c r="T15" s="291"/>
      <c r="U15" s="291"/>
      <c r="V15" s="291">
        <f t="shared" si="7"/>
        <v>3143.6268755822202</v>
      </c>
      <c r="W15" s="291"/>
      <c r="X15" s="291"/>
      <c r="Y15" s="345"/>
    </row>
    <row r="16" spans="1:27" x14ac:dyDescent="0.25">
      <c r="A16" s="106">
        <f t="shared" si="3"/>
        <v>4</v>
      </c>
      <c r="B16" s="106">
        <f t="shared" si="4"/>
        <v>34</v>
      </c>
      <c r="C16" s="106">
        <f t="shared" si="0"/>
        <v>0.79209366323802044</v>
      </c>
      <c r="D16" s="106">
        <f>'Q2 Base'!B17</f>
        <v>4.8899999999999996E-4</v>
      </c>
      <c r="E16" s="106">
        <f>(1-D14)*E14</f>
        <v>0.99863062534185421</v>
      </c>
      <c r="F16" s="332">
        <f>C16*D16*$G$4*E16</f>
        <v>580.20509434742462</v>
      </c>
      <c r="G16" s="330"/>
      <c r="H16" s="330">
        <f t="shared" si="5"/>
        <v>217.82575739045564</v>
      </c>
      <c r="I16" s="330"/>
      <c r="J16" s="330"/>
      <c r="K16" s="296"/>
      <c r="L16" s="300">
        <f t="shared" si="1"/>
        <v>0.74725817286605689</v>
      </c>
      <c r="M16" s="318">
        <f>L16*D16*$G$4*E16*A16</f>
        <v>2189.4531862166959</v>
      </c>
      <c r="N16" s="318"/>
      <c r="O16" s="318">
        <f t="shared" si="6"/>
        <v>821.98399015266261</v>
      </c>
      <c r="P16" s="318"/>
      <c r="Q16" s="318"/>
      <c r="R16" s="319"/>
      <c r="S16" s="347">
        <f t="shared" si="2"/>
        <v>0.70496054043967626</v>
      </c>
      <c r="T16" s="291">
        <f>S16*D16*$G$4*E16*A16*(A16+1)</f>
        <v>10327.60936894668</v>
      </c>
      <c r="U16" s="291"/>
      <c r="V16" s="291">
        <f t="shared" si="7"/>
        <v>3877.2829724182197</v>
      </c>
      <c r="W16" s="291"/>
      <c r="X16" s="291"/>
      <c r="Y16" s="345"/>
    </row>
    <row r="17" spans="1:25" x14ac:dyDescent="0.25">
      <c r="A17" s="106">
        <f t="shared" si="3"/>
        <v>4.5</v>
      </c>
      <c r="B17" s="106">
        <f t="shared" si="4"/>
        <v>34.5</v>
      </c>
      <c r="C17" s="106">
        <f t="shared" si="0"/>
        <v>0.76934937676586501</v>
      </c>
      <c r="F17" s="332"/>
      <c r="G17" s="330"/>
      <c r="H17" s="330">
        <f t="shared" si="5"/>
        <v>211.57107861061289</v>
      </c>
      <c r="I17" s="330"/>
      <c r="J17" s="330"/>
      <c r="K17" s="296"/>
      <c r="L17" s="300">
        <f t="shared" si="1"/>
        <v>0.72580129883572175</v>
      </c>
      <c r="M17" s="318"/>
      <c r="N17" s="318"/>
      <c r="O17" s="318">
        <f t="shared" si="6"/>
        <v>898.17910730920562</v>
      </c>
      <c r="P17" s="318"/>
      <c r="Q17" s="318"/>
      <c r="R17" s="319"/>
      <c r="S17" s="347">
        <f t="shared" si="2"/>
        <v>0.684718206448794</v>
      </c>
      <c r="T17" s="291"/>
      <c r="U17" s="291"/>
      <c r="V17" s="291">
        <f t="shared" si="7"/>
        <v>4660.3632926421042</v>
      </c>
      <c r="W17" s="291"/>
      <c r="X17" s="291"/>
      <c r="Y17" s="345"/>
    </row>
    <row r="18" spans="1:25" x14ac:dyDescent="0.25">
      <c r="A18" s="106">
        <f t="shared" si="3"/>
        <v>5</v>
      </c>
      <c r="B18" s="106">
        <f t="shared" si="4"/>
        <v>35</v>
      </c>
      <c r="C18" s="106">
        <f t="shared" si="0"/>
        <v>0.74725817286605689</v>
      </c>
      <c r="D18" s="106">
        <f>'Q2 Base'!B18</f>
        <v>5.0799999999999999E-4</v>
      </c>
      <c r="E18" s="106">
        <f>(1-D16)*E16</f>
        <v>0.9981422949660621</v>
      </c>
      <c r="F18" s="332">
        <f>C18*D18*$G$4*E18</f>
        <v>568.35293054866429</v>
      </c>
      <c r="G18" s="330"/>
      <c r="H18" s="330">
        <f t="shared" si="5"/>
        <v>205.49599753816565</v>
      </c>
      <c r="I18" s="330"/>
      <c r="J18" s="330"/>
      <c r="K18" s="296"/>
      <c r="L18" s="300">
        <f t="shared" si="1"/>
        <v>0.70496054043967626</v>
      </c>
      <c r="M18" s="318">
        <f>L18*D18*$G$4*E18*A18</f>
        <v>2680.9100497578511</v>
      </c>
      <c r="N18" s="318"/>
      <c r="O18" s="318">
        <f t="shared" si="6"/>
        <v>969.32074310455494</v>
      </c>
      <c r="P18" s="318"/>
      <c r="Q18" s="318"/>
      <c r="R18" s="319"/>
      <c r="S18" s="347">
        <f t="shared" si="2"/>
        <v>0.66505711362233599</v>
      </c>
      <c r="T18" s="291">
        <f>S18*D18*$G$4*E18*A18*(A18+1)</f>
        <v>15174.962545799153</v>
      </c>
      <c r="U18" s="291"/>
      <c r="V18" s="291">
        <f t="shared" si="7"/>
        <v>5486.7211873842716</v>
      </c>
      <c r="W18" s="291"/>
      <c r="X18" s="291"/>
      <c r="Y18" s="345"/>
    </row>
    <row r="19" spans="1:25" x14ac:dyDescent="0.25">
      <c r="A19" s="106">
        <f t="shared" si="3"/>
        <v>5.5</v>
      </c>
      <c r="B19" s="106">
        <f t="shared" si="4"/>
        <v>35.5</v>
      </c>
      <c r="C19" s="106">
        <f t="shared" si="0"/>
        <v>0.72580129883572175</v>
      </c>
      <c r="F19" s="332"/>
      <c r="G19" s="330"/>
      <c r="H19" s="330">
        <f t="shared" si="5"/>
        <v>199.59535717982348</v>
      </c>
      <c r="I19" s="330"/>
      <c r="J19" s="330"/>
      <c r="K19" s="296"/>
      <c r="L19" s="300">
        <f t="shared" si="1"/>
        <v>0.684718206448794</v>
      </c>
      <c r="M19" s="318"/>
      <c r="N19" s="318"/>
      <c r="O19" s="318">
        <f t="shared" si="6"/>
        <v>1035.6362872538009</v>
      </c>
      <c r="P19" s="318"/>
      <c r="Q19" s="318"/>
      <c r="R19" s="319"/>
      <c r="S19" s="347">
        <f t="shared" si="2"/>
        <v>0.64596057212150371</v>
      </c>
      <c r="T19" s="291"/>
      <c r="U19" s="291"/>
      <c r="V19" s="291">
        <f t="shared" si="7"/>
        <v>6350.5998746695341</v>
      </c>
      <c r="W19" s="291"/>
      <c r="X19" s="291"/>
      <c r="Y19" s="345"/>
    </row>
    <row r="20" spans="1:25" x14ac:dyDescent="0.25">
      <c r="A20" s="106">
        <f t="shared" si="3"/>
        <v>6</v>
      </c>
      <c r="B20" s="106">
        <f t="shared" si="4"/>
        <v>36</v>
      </c>
      <c r="C20" s="106">
        <f t="shared" si="0"/>
        <v>0.70496054043967626</v>
      </c>
      <c r="D20" s="106">
        <f>'Q2 Base'!B19</f>
        <v>5.31E-4</v>
      </c>
      <c r="E20" s="106">
        <f>(1-D18)*E18</f>
        <v>0.99763523868021942</v>
      </c>
      <c r="F20" s="332">
        <f>C20*D20*$G$4*E20</f>
        <v>560.17325444776247</v>
      </c>
      <c r="G20" s="330"/>
      <c r="H20" s="330">
        <f t="shared" si="5"/>
        <v>193.86414862091098</v>
      </c>
      <c r="I20" s="330"/>
      <c r="J20" s="330"/>
      <c r="K20" s="296"/>
      <c r="L20" s="300">
        <f t="shared" si="1"/>
        <v>0.66505711362233599</v>
      </c>
      <c r="M20" s="318">
        <f>L20*D20*$G$4*E20*A20</f>
        <v>3170.7920063080887</v>
      </c>
      <c r="N20" s="318"/>
      <c r="O20" s="318">
        <f t="shared" si="6"/>
        <v>1097.3442374768545</v>
      </c>
      <c r="P20" s="318"/>
      <c r="Q20" s="318"/>
      <c r="R20" s="319"/>
      <c r="S20" s="347">
        <f t="shared" si="2"/>
        <v>0.62741237134182648</v>
      </c>
      <c r="T20" s="291">
        <f>S20*D20*$G$4*E20*A20*(A20+1)</f>
        <v>20939.192494487386</v>
      </c>
      <c r="U20" s="291"/>
      <c r="V20" s="291">
        <f t="shared" si="7"/>
        <v>7246.6128889980955</v>
      </c>
      <c r="W20" s="291"/>
      <c r="X20" s="291"/>
      <c r="Y20" s="345"/>
    </row>
    <row r="21" spans="1:25" x14ac:dyDescent="0.25">
      <c r="A21" s="106">
        <f t="shared" si="3"/>
        <v>6.5</v>
      </c>
      <c r="B21" s="106">
        <f t="shared" si="4"/>
        <v>36.5</v>
      </c>
      <c r="C21" s="106">
        <f t="shared" si="0"/>
        <v>0.684718206448794</v>
      </c>
      <c r="F21" s="332"/>
      <c r="G21" s="330"/>
      <c r="H21" s="330">
        <f t="shared" si="5"/>
        <v>188.29750677341835</v>
      </c>
      <c r="I21" s="330"/>
      <c r="J21" s="330"/>
      <c r="K21" s="296"/>
      <c r="L21" s="300">
        <f t="shared" si="1"/>
        <v>0.64596057212150371</v>
      </c>
      <c r="M21" s="318"/>
      <c r="N21" s="318"/>
      <c r="O21" s="318">
        <f t="shared" si="6"/>
        <v>1154.6545226671878</v>
      </c>
      <c r="P21" s="318"/>
      <c r="Q21" s="318"/>
      <c r="R21" s="319"/>
      <c r="S21" s="347">
        <f t="shared" si="2"/>
        <v>0.60939676615236205</v>
      </c>
      <c r="T21" s="291"/>
      <c r="U21" s="291"/>
      <c r="V21" s="291">
        <f t="shared" si="7"/>
        <v>8169.7253962301038</v>
      </c>
      <c r="W21" s="291"/>
      <c r="X21" s="291"/>
      <c r="Y21" s="345"/>
    </row>
    <row r="22" spans="1:25" x14ac:dyDescent="0.25">
      <c r="A22" s="106">
        <f t="shared" si="3"/>
        <v>7</v>
      </c>
      <c r="B22" s="106">
        <f t="shared" si="4"/>
        <v>37</v>
      </c>
      <c r="C22" s="106">
        <f t="shared" si="0"/>
        <v>0.66505711362233599</v>
      </c>
      <c r="D22" s="106">
        <f>'Q2 Base'!B20</f>
        <v>5.5599999999999996E-4</v>
      </c>
      <c r="E22" s="106">
        <f>(1-D20)*E20</f>
        <v>0.99710549436848028</v>
      </c>
      <c r="F22" s="332">
        <f>C22*D22*$G$4*E22</f>
        <v>553.05217311943591</v>
      </c>
      <c r="G22" s="330"/>
      <c r="H22" s="330">
        <f t="shared" si="5"/>
        <v>182.8907062461424</v>
      </c>
      <c r="I22" s="330"/>
      <c r="J22" s="330"/>
      <c r="K22" s="296"/>
      <c r="L22" s="300">
        <f t="shared" si="1"/>
        <v>0.62741237134182648</v>
      </c>
      <c r="M22" s="318">
        <f>L22*D22*$G$4*E22*A22</f>
        <v>3652.2313319208042</v>
      </c>
      <c r="N22" s="318"/>
      <c r="O22" s="318">
        <f t="shared" si="6"/>
        <v>1207.768814833016</v>
      </c>
      <c r="P22" s="318"/>
      <c r="Q22" s="318"/>
      <c r="R22" s="319"/>
      <c r="S22" s="347">
        <f t="shared" si="2"/>
        <v>0.59189846353002495</v>
      </c>
      <c r="T22" s="291">
        <f>S22*D22*$G$4*E22*A22*(A22+1)</f>
        <v>27564.010052232486</v>
      </c>
      <c r="U22" s="291"/>
      <c r="V22" s="291">
        <f t="shared" si="7"/>
        <v>9115.2363383623851</v>
      </c>
      <c r="W22" s="291"/>
      <c r="X22" s="291"/>
      <c r="Y22" s="345"/>
    </row>
    <row r="23" spans="1:25" x14ac:dyDescent="0.25">
      <c r="A23" s="106">
        <f t="shared" si="3"/>
        <v>7.5</v>
      </c>
      <c r="B23" s="106">
        <f t="shared" si="4"/>
        <v>37.5</v>
      </c>
      <c r="C23" s="106">
        <f t="shared" si="0"/>
        <v>0.64596057212150371</v>
      </c>
      <c r="F23" s="332"/>
      <c r="G23" s="330"/>
      <c r="H23" s="330">
        <f t="shared" si="5"/>
        <v>177.63915733341352</v>
      </c>
      <c r="I23" s="330"/>
      <c r="J23" s="330"/>
      <c r="K23" s="296"/>
      <c r="L23" s="300">
        <f t="shared" si="1"/>
        <v>0.60939676615236205</v>
      </c>
      <c r="M23" s="318"/>
      <c r="N23" s="318"/>
      <c r="O23" s="318">
        <f t="shared" si="6"/>
        <v>1256.8808301892466</v>
      </c>
      <c r="P23" s="318"/>
      <c r="Q23" s="318"/>
      <c r="R23" s="319"/>
      <c r="S23" s="347">
        <f t="shared" si="2"/>
        <v>0.57490260957770001</v>
      </c>
      <c r="T23" s="291"/>
      <c r="U23" s="291"/>
      <c r="V23" s="291">
        <f t="shared" si="7"/>
        <v>10078.761374159054</v>
      </c>
      <c r="W23" s="291"/>
      <c r="X23" s="291"/>
      <c r="Y23" s="345"/>
    </row>
    <row r="24" spans="1:25" x14ac:dyDescent="0.25">
      <c r="A24" s="106">
        <f t="shared" si="3"/>
        <v>8</v>
      </c>
      <c r="B24" s="106">
        <f t="shared" si="4"/>
        <v>38</v>
      </c>
      <c r="C24" s="106">
        <f t="shared" si="0"/>
        <v>0.62741237134182648</v>
      </c>
      <c r="D24" s="106">
        <f>'Q2 Base'!B21</f>
        <v>5.8500000000000002E-4</v>
      </c>
      <c r="E24" s="106">
        <f>(1-D22)*E22</f>
        <v>0.99655110371361144</v>
      </c>
      <c r="F24" s="332">
        <f>C24*D24*$G$4*E24</f>
        <v>548.65555097909817</v>
      </c>
      <c r="G24" s="330"/>
      <c r="H24" s="330">
        <f t="shared" si="5"/>
        <v>172.53840211900228</v>
      </c>
      <c r="I24" s="330"/>
      <c r="J24" s="330"/>
      <c r="K24" s="296"/>
      <c r="L24" s="300">
        <f t="shared" si="1"/>
        <v>0.59189846353002495</v>
      </c>
      <c r="M24" s="318">
        <f>L24*D24*$G$4*E24*A24</f>
        <v>4140.7966111630049</v>
      </c>
      <c r="N24" s="318"/>
      <c r="O24" s="318">
        <f t="shared" si="6"/>
        <v>1302.176619766055</v>
      </c>
      <c r="P24" s="318"/>
      <c r="Q24" s="318"/>
      <c r="R24" s="319"/>
      <c r="S24" s="347">
        <f t="shared" si="2"/>
        <v>0.55839477691511785</v>
      </c>
      <c r="T24" s="291">
        <f>S24*D24*$G$4*E24*A24*(A24+1)</f>
        <v>35157.707075912302</v>
      </c>
      <c r="U24" s="291"/>
      <c r="V24" s="291">
        <f t="shared" si="7"/>
        <v>11056.216582919333</v>
      </c>
      <c r="W24" s="291"/>
      <c r="X24" s="291"/>
      <c r="Y24" s="345"/>
    </row>
    <row r="25" spans="1:25" x14ac:dyDescent="0.25">
      <c r="A25" s="106">
        <f t="shared" si="3"/>
        <v>8.5</v>
      </c>
      <c r="B25" s="106">
        <f t="shared" si="4"/>
        <v>38.5</v>
      </c>
      <c r="C25" s="106">
        <f t="shared" si="0"/>
        <v>0.60939676615236205</v>
      </c>
      <c r="F25" s="332"/>
      <c r="G25" s="330"/>
      <c r="H25" s="330">
        <f t="shared" si="5"/>
        <v>167.58411069189955</v>
      </c>
      <c r="I25" s="330"/>
      <c r="J25" s="330"/>
      <c r="K25" s="296"/>
      <c r="L25" s="300">
        <f t="shared" si="1"/>
        <v>0.57490260957770001</v>
      </c>
      <c r="M25" s="318"/>
      <c r="N25" s="318"/>
      <c r="O25" s="318">
        <f t="shared" si="6"/>
        <v>1343.8348498878738</v>
      </c>
      <c r="P25" s="318"/>
      <c r="Q25" s="318"/>
      <c r="R25" s="319"/>
      <c r="S25" s="347">
        <f t="shared" si="2"/>
        <v>0.5423609524317925</v>
      </c>
      <c r="T25" s="291"/>
      <c r="U25" s="291"/>
      <c r="V25" s="291">
        <f t="shared" si="7"/>
        <v>12043.802899938493</v>
      </c>
      <c r="W25" s="291"/>
      <c r="X25" s="291"/>
      <c r="Y25" s="345"/>
    </row>
    <row r="26" spans="1:25" x14ac:dyDescent="0.25">
      <c r="A26" s="106">
        <f t="shared" si="3"/>
        <v>9</v>
      </c>
      <c r="B26" s="106">
        <f t="shared" si="4"/>
        <v>39</v>
      </c>
      <c r="C26" s="106">
        <f t="shared" si="0"/>
        <v>0.59189846353002495</v>
      </c>
      <c r="D26" s="106">
        <f>'Q2 Base'!B22</f>
        <v>6.1700000000000004E-4</v>
      </c>
      <c r="E26" s="106">
        <f>(1-D24)*E24</f>
        <v>0.99596812131793899</v>
      </c>
      <c r="F26" s="332">
        <f>C26*D26*$G$4*E26</f>
        <v>545.59335667836706</v>
      </c>
      <c r="G26" s="330"/>
      <c r="H26" s="330">
        <f t="shared" si="5"/>
        <v>162.77207747075687</v>
      </c>
      <c r="I26" s="330"/>
      <c r="J26" s="330"/>
      <c r="K26" s="296"/>
      <c r="L26" s="300">
        <f t="shared" si="1"/>
        <v>0.55839477691511785</v>
      </c>
      <c r="M26" s="318">
        <f>L26*D26*$G$4*E26*A26</f>
        <v>4632.3964246276446</v>
      </c>
      <c r="N26" s="318"/>
      <c r="O26" s="318">
        <f t="shared" si="6"/>
        <v>1382.0270728649166</v>
      </c>
      <c r="P26" s="318"/>
      <c r="Q26" s="318"/>
      <c r="R26" s="319"/>
      <c r="S26" s="347">
        <f t="shared" si="2"/>
        <v>0.52678752539162055</v>
      </c>
      <c r="T26" s="291">
        <f>S26*D26*$G$4*E26*A26*(A26+1)</f>
        <v>43701.85306252494</v>
      </c>
      <c r="U26" s="291"/>
      <c r="V26" s="291">
        <f t="shared" si="7"/>
        <v>13037.991253442611</v>
      </c>
      <c r="W26" s="291"/>
      <c r="X26" s="291"/>
      <c r="Y26" s="345"/>
    </row>
    <row r="27" spans="1:25" x14ac:dyDescent="0.25">
      <c r="A27" s="106">
        <f t="shared" si="3"/>
        <v>9.5</v>
      </c>
      <c r="B27" s="106">
        <f t="shared" si="4"/>
        <v>39.5</v>
      </c>
      <c r="C27" s="106">
        <f t="shared" si="0"/>
        <v>0.57490260957770001</v>
      </c>
      <c r="F27" s="332"/>
      <c r="G27" s="330"/>
      <c r="H27" s="330">
        <f t="shared" si="5"/>
        <v>158.09821763386751</v>
      </c>
      <c r="I27" s="330"/>
      <c r="J27" s="330"/>
      <c r="K27" s="296"/>
      <c r="L27" s="300">
        <f t="shared" si="1"/>
        <v>0.5423609524317925</v>
      </c>
      <c r="M27" s="318"/>
      <c r="N27" s="318">
        <f>L27*E27*$G$4*(1-D27)*A27</f>
        <v>0</v>
      </c>
      <c r="O27" s="318">
        <f t="shared" si="6"/>
        <v>1416.917988228058</v>
      </c>
      <c r="P27" s="318"/>
      <c r="Q27" s="318"/>
      <c r="R27" s="319"/>
      <c r="S27" s="347">
        <f t="shared" si="2"/>
        <v>0.51166127587904942</v>
      </c>
      <c r="T27" s="291"/>
      <c r="U27" s="291"/>
      <c r="V27" s="291">
        <f t="shared" si="7"/>
        <v>14035.508373957175</v>
      </c>
      <c r="W27" s="291"/>
      <c r="X27" s="291"/>
      <c r="Y27" s="345"/>
    </row>
    <row r="28" spans="1:25" x14ac:dyDescent="0.25">
      <c r="A28" s="106">
        <f t="shared" si="3"/>
        <v>10</v>
      </c>
      <c r="B28" s="106">
        <f t="shared" si="4"/>
        <v>40</v>
      </c>
      <c r="C28" s="106">
        <f t="shared" si="0"/>
        <v>0.55839477691511785</v>
      </c>
      <c r="D28" s="106">
        <f>'Q2 Base'!B23</f>
        <v>6.5399999999999996E-4</v>
      </c>
      <c r="E28" s="106">
        <f>(1-D26)*E26</f>
        <v>0.9953536089870858</v>
      </c>
      <c r="F28" s="332">
        <f>C28*D28*$G$4*E28</f>
        <v>545.24005156960322</v>
      </c>
      <c r="G28" s="330"/>
      <c r="H28" s="330">
        <f t="shared" si="5"/>
        <v>153.55856365165741</v>
      </c>
      <c r="I28" s="330"/>
      <c r="J28" s="330">
        <f>$J$4*C28</f>
        <v>151589.65830518643</v>
      </c>
      <c r="K28" s="296"/>
      <c r="L28" s="300">
        <f t="shared" si="1"/>
        <v>0.52678752539162055</v>
      </c>
      <c r="M28" s="318">
        <f>L28*D28*$G$4*E28*A28</f>
        <v>5143.7740714113497</v>
      </c>
      <c r="N28" s="318"/>
      <c r="O28" s="318">
        <f t="shared" si="6"/>
        <v>1448.6656948269567</v>
      </c>
      <c r="P28" s="318"/>
      <c r="Q28" s="318">
        <f>$J$4*L28*A28</f>
        <v>1430091.1160866641</v>
      </c>
      <c r="R28" s="319"/>
      <c r="S28" s="347">
        <f t="shared" si="2"/>
        <v>0.4969693635770005</v>
      </c>
      <c r="T28" s="291">
        <f>S28*D28*$G$4*E28*A28*(A28+1)</f>
        <v>53378.787533514012</v>
      </c>
      <c r="U28" s="291"/>
      <c r="V28" s="291">
        <f t="shared" si="7"/>
        <v>15033.323248204269</v>
      </c>
      <c r="W28" s="291"/>
      <c r="X28" s="291">
        <f>$J$4*S28*A28*(A28+1)</f>
        <v>14840568.185805008</v>
      </c>
      <c r="Y28" s="345"/>
    </row>
    <row r="29" spans="1:25" x14ac:dyDescent="0.25">
      <c r="A29" s="106">
        <f t="shared" si="3"/>
        <v>10.5</v>
      </c>
      <c r="B29" s="106">
        <f t="shared" si="4"/>
        <v>40.5</v>
      </c>
      <c r="C29" s="106">
        <f t="shared" si="0"/>
        <v>0.5423609524317925</v>
      </c>
      <c r="F29" s="332"/>
      <c r="G29" s="330"/>
      <c r="H29" s="330">
        <f t="shared" si="5"/>
        <v>149.14926191874295</v>
      </c>
      <c r="I29" s="330"/>
      <c r="J29" s="330"/>
      <c r="K29" s="296"/>
      <c r="L29" s="300">
        <f t="shared" si="1"/>
        <v>0.51166127587904942</v>
      </c>
      <c r="M29" s="318"/>
      <c r="N29" s="318"/>
      <c r="O29" s="318">
        <f t="shared" si="6"/>
        <v>1477.4219341007552</v>
      </c>
      <c r="P29" s="318"/>
      <c r="Q29" s="318"/>
      <c r="R29" s="319"/>
      <c r="S29" s="347">
        <f t="shared" si="2"/>
        <v>0.48269931686702772</v>
      </c>
      <c r="T29" s="291"/>
      <c r="U29" s="291"/>
      <c r="V29" s="291">
        <f t="shared" si="7"/>
        <v>16028.634190715738</v>
      </c>
      <c r="W29" s="291"/>
      <c r="X29" s="291"/>
      <c r="Y29" s="345"/>
    </row>
    <row r="30" spans="1:25" x14ac:dyDescent="0.25">
      <c r="A30" s="106">
        <f t="shared" si="3"/>
        <v>11</v>
      </c>
      <c r="B30" s="106">
        <f t="shared" si="4"/>
        <v>41</v>
      </c>
      <c r="C30" s="106">
        <f t="shared" si="0"/>
        <v>0.52678752539162055</v>
      </c>
      <c r="D30" s="106">
        <f>'Q2 Base'!B24</f>
        <v>6.96E-4</v>
      </c>
      <c r="E30" s="106">
        <f>(1-D28)*E28</f>
        <v>0.99470264772680816</v>
      </c>
      <c r="F30" s="332">
        <f>C30*D30*$G$4*E30</f>
        <v>547.05281193354404</v>
      </c>
      <c r="G30" s="330"/>
      <c r="H30" s="330">
        <f t="shared" si="5"/>
        <v>144.86656948269567</v>
      </c>
      <c r="I30" s="330"/>
      <c r="J30" s="330"/>
      <c r="K30" s="296"/>
      <c r="L30" s="300">
        <f t="shared" si="1"/>
        <v>0.4969693635770005</v>
      </c>
      <c r="M30" s="318">
        <f>L30*D30*$G$4*E30*A30</f>
        <v>5676.9631427065888</v>
      </c>
      <c r="N30" s="318"/>
      <c r="O30" s="318">
        <f t="shared" si="6"/>
        <v>1503.3323248204267</v>
      </c>
      <c r="P30" s="318"/>
      <c r="Q30" s="318"/>
      <c r="R30" s="319"/>
      <c r="S30" s="347">
        <f t="shared" si="2"/>
        <v>0.46883902224245327</v>
      </c>
      <c r="T30" s="291">
        <f>S30*D30*$G$4*E30*A30*(A30+1)</f>
        <v>64267.50727592365</v>
      </c>
      <c r="U30" s="291"/>
      <c r="V30" s="291">
        <f t="shared" si="7"/>
        <v>17018.856507401055</v>
      </c>
      <c r="W30" s="291"/>
      <c r="X30" s="291"/>
      <c r="Y30" s="345"/>
    </row>
    <row r="31" spans="1:25" x14ac:dyDescent="0.25">
      <c r="A31" s="106">
        <f t="shared" si="3"/>
        <v>11.5</v>
      </c>
      <c r="B31" s="106">
        <f t="shared" si="4"/>
        <v>41.5</v>
      </c>
      <c r="C31" s="106">
        <f t="shared" si="0"/>
        <v>0.51166127587904942</v>
      </c>
      <c r="F31" s="332"/>
      <c r="G31" s="330"/>
      <c r="H31" s="330">
        <f t="shared" si="5"/>
        <v>140.70685086673859</v>
      </c>
      <c r="I31" s="330"/>
      <c r="J31" s="330"/>
      <c r="K31" s="296"/>
      <c r="L31" s="300">
        <f t="shared" si="1"/>
        <v>0.48269931686702772</v>
      </c>
      <c r="M31" s="318"/>
      <c r="N31" s="318"/>
      <c r="O31" s="318">
        <f t="shared" si="6"/>
        <v>1526.5365895919751</v>
      </c>
      <c r="P31" s="318"/>
      <c r="Q31" s="318"/>
      <c r="R31" s="319"/>
      <c r="S31" s="347">
        <f t="shared" si="2"/>
        <v>0.45537671402549784</v>
      </c>
      <c r="T31" s="291"/>
      <c r="U31" s="291"/>
      <c r="V31" s="291">
        <f t="shared" si="7"/>
        <v>18001.610726320461</v>
      </c>
      <c r="W31" s="291"/>
      <c r="X31" s="291"/>
      <c r="Y31" s="345"/>
    </row>
    <row r="32" spans="1:25" x14ac:dyDescent="0.25">
      <c r="A32" s="106">
        <f t="shared" si="3"/>
        <v>12</v>
      </c>
      <c r="B32" s="106">
        <f t="shared" si="4"/>
        <v>42</v>
      </c>
      <c r="C32" s="106">
        <f t="shared" si="0"/>
        <v>0.4969693635770005</v>
      </c>
      <c r="D32" s="106">
        <f>'Q2 Base'!B25</f>
        <v>7.4399999999999998E-4</v>
      </c>
      <c r="E32" s="106">
        <f>(1-D30)*E30</f>
        <v>0.99401033468399025</v>
      </c>
      <c r="F32" s="332">
        <f>C32*D32*$G$4*E32</f>
        <v>551.29583469322006</v>
      </c>
      <c r="G32" s="330"/>
      <c r="H32" s="330">
        <f t="shared" si="5"/>
        <v>136.66657498367516</v>
      </c>
      <c r="I32" s="330"/>
      <c r="J32" s="330"/>
      <c r="K32" s="296"/>
      <c r="L32" s="300">
        <f t="shared" si="1"/>
        <v>0.46883902224245327</v>
      </c>
      <c r="M32" s="318">
        <f>L32*D32*$G$4*E32*A32</f>
        <v>6241.0849210553224</v>
      </c>
      <c r="N32" s="318"/>
      <c r="O32" s="318">
        <f t="shared" si="6"/>
        <v>1547.1687734000957</v>
      </c>
      <c r="P32" s="318"/>
      <c r="Q32" s="318"/>
      <c r="R32" s="319"/>
      <c r="S32" s="347">
        <f t="shared" si="2"/>
        <v>0.44230096437967292</v>
      </c>
      <c r="T32" s="291">
        <f>S32*D32*$G$4*E32*A32*(A32+1)</f>
        <v>76541.607522376595</v>
      </c>
      <c r="U32" s="291"/>
      <c r="V32" s="291">
        <f t="shared" si="7"/>
        <v>18974.71137188797</v>
      </c>
      <c r="W32" s="291"/>
      <c r="X32" s="291"/>
      <c r="Y32" s="345"/>
    </row>
    <row r="33" spans="1:25" x14ac:dyDescent="0.25">
      <c r="A33" s="106">
        <f t="shared" si="3"/>
        <v>12.5</v>
      </c>
      <c r="B33" s="106">
        <f t="shared" si="4"/>
        <v>42.5</v>
      </c>
      <c r="C33" s="106">
        <f t="shared" si="0"/>
        <v>0.48269931686702772</v>
      </c>
      <c r="F33" s="332"/>
      <c r="G33" s="330"/>
      <c r="H33" s="330">
        <f t="shared" si="5"/>
        <v>132.74231213843262</v>
      </c>
      <c r="I33" s="330"/>
      <c r="J33" s="330"/>
      <c r="K33" s="296"/>
      <c r="L33" s="300">
        <f t="shared" si="1"/>
        <v>0.45537671402549784</v>
      </c>
      <c r="M33" s="318"/>
      <c r="N33" s="318"/>
      <c r="O33" s="318">
        <f t="shared" si="6"/>
        <v>1565.3574544626488</v>
      </c>
      <c r="P33" s="318"/>
      <c r="Q33" s="318"/>
      <c r="R33" s="319"/>
      <c r="S33" s="347">
        <f t="shared" si="2"/>
        <v>0.42960067360896026</v>
      </c>
      <c r="T33" s="291"/>
      <c r="U33" s="291"/>
      <c r="V33" s="291">
        <f t="shared" si="7"/>
        <v>19936.156259665811</v>
      </c>
      <c r="W33" s="291"/>
      <c r="X33" s="291"/>
      <c r="Y33" s="345"/>
    </row>
    <row r="34" spans="1:25" x14ac:dyDescent="0.25">
      <c r="A34" s="106">
        <f t="shared" si="3"/>
        <v>13</v>
      </c>
      <c r="B34" s="106">
        <f t="shared" si="4"/>
        <v>43</v>
      </c>
      <c r="C34" s="106">
        <f t="shared" si="0"/>
        <v>0.46883902224245327</v>
      </c>
      <c r="D34" s="106">
        <f>'Q2 Base'!B26</f>
        <v>7.9799999999999999E-4</v>
      </c>
      <c r="E34" s="106">
        <f>(1-D32)*E32</f>
        <v>0.99327079099498539</v>
      </c>
      <c r="F34" s="332">
        <f>C34*D34*$G$4*E34</f>
        <v>557.42387544707628</v>
      </c>
      <c r="G34" s="330"/>
      <c r="H34" s="330">
        <f t="shared" si="5"/>
        <v>128.93073111667465</v>
      </c>
      <c r="I34" s="330"/>
      <c r="J34" s="330"/>
      <c r="K34" s="296"/>
      <c r="L34" s="300">
        <f t="shared" si="1"/>
        <v>0.44230096437967292</v>
      </c>
      <c r="M34" s="318">
        <f>L34*D34*$G$4*E34*A34</f>
        <v>6836.3305479358414</v>
      </c>
      <c r="N34" s="318"/>
      <c r="O34" s="318">
        <f t="shared" si="6"/>
        <v>1581.2259476573308</v>
      </c>
      <c r="P34" s="318"/>
      <c r="Q34" s="318"/>
      <c r="R34" s="319"/>
      <c r="S34" s="347">
        <f t="shared" si="2"/>
        <v>0.41726506073554037</v>
      </c>
      <c r="T34" s="291">
        <f>S34*D34*$G$4*E34*A34*(A34+1)</f>
        <v>90291.158180284692</v>
      </c>
      <c r="U34" s="291"/>
      <c r="V34" s="291">
        <f t="shared" si="7"/>
        <v>20884.116289813795</v>
      </c>
      <c r="W34" s="291"/>
      <c r="X34" s="291"/>
      <c r="Y34" s="345"/>
    </row>
    <row r="35" spans="1:25" x14ac:dyDescent="0.25">
      <c r="A35" s="106">
        <f t="shared" si="3"/>
        <v>13.5</v>
      </c>
      <c r="B35" s="106">
        <f t="shared" si="4"/>
        <v>43.5</v>
      </c>
      <c r="C35" s="106">
        <f t="shared" si="0"/>
        <v>0.45537671402549784</v>
      </c>
      <c r="F35" s="332"/>
      <c r="G35" s="330"/>
      <c r="H35" s="330">
        <f t="shared" si="5"/>
        <v>125.22859635701191</v>
      </c>
      <c r="I35" s="330"/>
      <c r="J35" s="330"/>
      <c r="K35" s="296"/>
      <c r="L35" s="300">
        <f t="shared" si="1"/>
        <v>0.42960067360896026</v>
      </c>
      <c r="M35" s="318"/>
      <c r="N35" s="318"/>
      <c r="O35" s="318">
        <f t="shared" si="6"/>
        <v>1594.8925007732651</v>
      </c>
      <c r="P35" s="318"/>
      <c r="Q35" s="318"/>
      <c r="R35" s="319"/>
      <c r="S35" s="347">
        <f t="shared" si="2"/>
        <v>0.40528365434807562</v>
      </c>
      <c r="T35" s="291"/>
      <c r="U35" s="291"/>
      <c r="V35" s="291">
        <f t="shared" si="7"/>
        <v>21816.925718124847</v>
      </c>
      <c r="W35" s="291"/>
      <c r="X35" s="291"/>
      <c r="Y35" s="345"/>
    </row>
    <row r="36" spans="1:25" x14ac:dyDescent="0.25">
      <c r="A36" s="106">
        <f t="shared" si="3"/>
        <v>14</v>
      </c>
      <c r="B36" s="106">
        <f t="shared" si="4"/>
        <v>44</v>
      </c>
      <c r="C36" s="106">
        <f t="shared" si="0"/>
        <v>0.44230096437967292</v>
      </c>
      <c r="D36" s="106">
        <f>'Q2 Base'!B27</f>
        <v>8.5999999999999998E-4</v>
      </c>
      <c r="E36" s="106">
        <f>(1-D34)*E34</f>
        <v>0.99247816090377139</v>
      </c>
      <c r="F36" s="332">
        <f>C36*D36*$G$4*E36</f>
        <v>566.27652152461792</v>
      </c>
      <c r="G36" s="330"/>
      <c r="H36" s="330">
        <f t="shared" si="5"/>
        <v>121.63276520441006</v>
      </c>
      <c r="I36" s="330"/>
      <c r="J36" s="330"/>
      <c r="K36" s="296"/>
      <c r="L36" s="300">
        <f t="shared" si="1"/>
        <v>0.41726506073554037</v>
      </c>
      <c r="M36" s="318">
        <f>L36*D36*$G$4*E36*A36</f>
        <v>7479.1238691930648</v>
      </c>
      <c r="N36" s="318"/>
      <c r="O36" s="318">
        <f t="shared" si="6"/>
        <v>1606.4704838318305</v>
      </c>
      <c r="P36" s="318"/>
      <c r="Q36" s="318"/>
      <c r="R36" s="319"/>
      <c r="S36" s="347">
        <f t="shared" si="2"/>
        <v>0.39364628371277405</v>
      </c>
      <c r="T36" s="291">
        <f>S36*D36*$G$4*E36*A36*(A36+1)</f>
        <v>105836.658526317</v>
      </c>
      <c r="U36" s="291"/>
      <c r="V36" s="291">
        <f t="shared" si="7"/>
        <v>22733.072884412701</v>
      </c>
      <c r="W36" s="291"/>
      <c r="X36" s="291"/>
      <c r="Y36" s="345"/>
    </row>
    <row r="37" spans="1:25" x14ac:dyDescent="0.25">
      <c r="A37" s="106">
        <f t="shared" si="3"/>
        <v>14.5</v>
      </c>
      <c r="B37" s="106">
        <f t="shared" si="4"/>
        <v>44.5</v>
      </c>
      <c r="C37" s="106">
        <f t="shared" si="0"/>
        <v>0.42960067360896026</v>
      </c>
      <c r="F37" s="332"/>
      <c r="G37" s="330"/>
      <c r="H37" s="330">
        <f t="shared" si="5"/>
        <v>118.14018524246407</v>
      </c>
      <c r="I37" s="330"/>
      <c r="J37" s="330"/>
      <c r="K37" s="296"/>
      <c r="L37" s="300">
        <f t="shared" si="1"/>
        <v>0.40528365434807562</v>
      </c>
      <c r="M37" s="318"/>
      <c r="N37" s="318"/>
      <c r="O37" s="318">
        <f t="shared" si="6"/>
        <v>1616.0685717129516</v>
      </c>
      <c r="P37" s="318"/>
      <c r="Q37" s="318"/>
      <c r="R37" s="319"/>
      <c r="S37" s="347">
        <f t="shared" si="2"/>
        <v>0.38234307013969404</v>
      </c>
      <c r="T37" s="291"/>
      <c r="U37" s="291"/>
      <c r="V37" s="291">
        <f t="shared" si="7"/>
        <v>23631.191378821466</v>
      </c>
      <c r="W37" s="291"/>
      <c r="X37" s="291"/>
      <c r="Y37" s="345"/>
    </row>
    <row r="38" spans="1:25" x14ac:dyDescent="0.25">
      <c r="A38" s="106">
        <f t="shared" si="3"/>
        <v>15</v>
      </c>
      <c r="B38" s="106">
        <f t="shared" si="4"/>
        <v>45</v>
      </c>
      <c r="C38" s="106">
        <f t="shared" si="0"/>
        <v>0.41726506073554037</v>
      </c>
      <c r="D38" s="106">
        <f>'Q2 Base'!B28</f>
        <v>9.2900000000000003E-4</v>
      </c>
      <c r="E38" s="106">
        <f>(1-D36)*E36</f>
        <v>0.99162462968539422</v>
      </c>
      <c r="F38" s="332">
        <f>C38*D38*$G$4*E38</f>
        <v>576.58892884188572</v>
      </c>
      <c r="G38" s="330"/>
      <c r="H38" s="330">
        <f t="shared" si="5"/>
        <v>114.74789170227361</v>
      </c>
      <c r="I38" s="330"/>
      <c r="J38" s="330"/>
      <c r="K38" s="296"/>
      <c r="L38" s="300">
        <f t="shared" si="1"/>
        <v>0.39364628371277405</v>
      </c>
      <c r="M38" s="318">
        <f>L38*D38*$G$4*E38*A38</f>
        <v>8159.2772949323471</v>
      </c>
      <c r="N38" s="318"/>
      <c r="O38" s="318">
        <f t="shared" si="6"/>
        <v>1623.790920315193</v>
      </c>
      <c r="P38" s="318"/>
      <c r="Q38" s="318"/>
      <c r="R38" s="319"/>
      <c r="S38" s="347">
        <f t="shared" si="2"/>
        <v>0.37136441859695657</v>
      </c>
      <c r="T38" s="291">
        <f>S38*D38*$G$4*E38*A38*(A38+1)</f>
        <v>123158.90256501654</v>
      </c>
      <c r="U38" s="291"/>
      <c r="V38" s="291">
        <f t="shared" si="7"/>
        <v>24510.051627399134</v>
      </c>
      <c r="W38" s="291"/>
      <c r="X38" s="291"/>
      <c r="Y38" s="345"/>
    </row>
    <row r="39" spans="1:25" x14ac:dyDescent="0.25">
      <c r="A39" s="106">
        <f t="shared" si="3"/>
        <v>15.5</v>
      </c>
      <c r="B39" s="106">
        <f t="shared" si="4"/>
        <v>45.5</v>
      </c>
      <c r="C39" s="106">
        <f t="shared" si="0"/>
        <v>0.40528365434807562</v>
      </c>
      <c r="F39" s="332"/>
      <c r="G39" s="330"/>
      <c r="H39" s="330">
        <f t="shared" si="5"/>
        <v>111.45300494572079</v>
      </c>
      <c r="I39" s="330"/>
      <c r="J39" s="330"/>
      <c r="K39" s="296"/>
      <c r="L39" s="300">
        <f t="shared" si="1"/>
        <v>0.38234307013969404</v>
      </c>
      <c r="M39" s="318"/>
      <c r="N39" s="318"/>
      <c r="O39" s="318">
        <f t="shared" si="6"/>
        <v>1629.7373364704458</v>
      </c>
      <c r="P39" s="318"/>
      <c r="Q39" s="318"/>
      <c r="R39" s="319"/>
      <c r="S39" s="347">
        <f t="shared" si="2"/>
        <v>0.36070100956574902</v>
      </c>
      <c r="T39" s="291"/>
      <c r="U39" s="291"/>
      <c r="V39" s="291">
        <f t="shared" si="7"/>
        <v>25368.552879021088</v>
      </c>
      <c r="W39" s="291"/>
      <c r="X39" s="291"/>
      <c r="Y39" s="345"/>
    </row>
    <row r="40" spans="1:25" x14ac:dyDescent="0.25">
      <c r="A40" s="106">
        <f t="shared" si="3"/>
        <v>16</v>
      </c>
      <c r="B40" s="106">
        <f t="shared" si="4"/>
        <v>46</v>
      </c>
      <c r="C40" s="106">
        <f t="shared" ref="C40:C58" si="8">(1+$C$4)^-A40</f>
        <v>0.39364628371277405</v>
      </c>
      <c r="D40" s="106">
        <f>'Q2 Base'!B29</f>
        <v>1.008E-3</v>
      </c>
      <c r="E40" s="106">
        <f>(1-D38)*E38</f>
        <v>0.99070341040441656</v>
      </c>
      <c r="F40" s="332">
        <f>C40*D40*$G$4*E40</f>
        <v>589.6599142401119</v>
      </c>
      <c r="G40" s="330"/>
      <c r="H40" s="330">
        <f t="shared" si="5"/>
        <v>108.25272802101287</v>
      </c>
      <c r="I40" s="330"/>
      <c r="J40" s="330"/>
      <c r="K40" s="296"/>
      <c r="L40" s="300">
        <f t="shared" ref="L40:L58" si="9">(1+$C$4)^-(A40+1)</f>
        <v>0.37136441859695657</v>
      </c>
      <c r="M40" s="318">
        <f>L40*D40*$G$4*E40*A40</f>
        <v>8900.5270073979136</v>
      </c>
      <c r="N40" s="318"/>
      <c r="O40" s="318">
        <f t="shared" si="6"/>
        <v>1634.0034418266089</v>
      </c>
      <c r="P40" s="318"/>
      <c r="Q40" s="318"/>
      <c r="R40" s="319"/>
      <c r="S40" s="347">
        <f t="shared" ref="S40:S58" si="10">(1+$C$4)^-(A40+2)</f>
        <v>0.35034379112920433</v>
      </c>
      <c r="T40" s="291">
        <f>S40*D40*$G$4*E40*A40*(A40+1)</f>
        <v>142744.30106204204</v>
      </c>
      <c r="U40" s="291"/>
      <c r="V40" s="291">
        <f t="shared" si="7"/>
        <v>26205.715576464485</v>
      </c>
      <c r="W40" s="291"/>
      <c r="X40" s="291"/>
      <c r="Y40" s="345"/>
    </row>
    <row r="41" spans="1:25" x14ac:dyDescent="0.25">
      <c r="A41" s="106">
        <f t="shared" ref="A41:A58" si="11">0.5+A40</f>
        <v>16.5</v>
      </c>
      <c r="B41" s="106">
        <f t="shared" ref="B41:B58" si="12">$B$8+A41</f>
        <v>46.5</v>
      </c>
      <c r="C41" s="106">
        <f t="shared" si="8"/>
        <v>0.38234307013969404</v>
      </c>
      <c r="F41" s="332"/>
      <c r="G41" s="330"/>
      <c r="H41" s="330">
        <f t="shared" si="5"/>
        <v>105.14434428841587</v>
      </c>
      <c r="I41" s="330"/>
      <c r="J41" s="330"/>
      <c r="K41" s="296"/>
      <c r="L41" s="300">
        <f t="shared" si="9"/>
        <v>0.36070100956574902</v>
      </c>
      <c r="M41" s="318"/>
      <c r="N41" s="318"/>
      <c r="O41" s="318">
        <f t="shared" si="6"/>
        <v>1636.6808309045864</v>
      </c>
      <c r="P41" s="318"/>
      <c r="Q41" s="318"/>
      <c r="R41" s="319"/>
      <c r="S41" s="347">
        <f t="shared" si="10"/>
        <v>0.34028397128844246</v>
      </c>
      <c r="T41" s="291"/>
      <c r="U41" s="291"/>
      <c r="V41" s="291">
        <f t="shared" si="7"/>
        <v>27020.674095122886</v>
      </c>
      <c r="W41" s="291"/>
      <c r="X41" s="291"/>
      <c r="Y41" s="345"/>
    </row>
    <row r="42" spans="1:25" x14ac:dyDescent="0.25">
      <c r="A42" s="106">
        <f t="shared" si="11"/>
        <v>17</v>
      </c>
      <c r="B42" s="106">
        <f t="shared" si="12"/>
        <v>47</v>
      </c>
      <c r="C42" s="106">
        <f t="shared" si="8"/>
        <v>0.37136441859695657</v>
      </c>
      <c r="D42" s="106">
        <f>'Q2 Base'!B30</f>
        <v>1.098E-3</v>
      </c>
      <c r="E42" s="106">
        <f>(1-D40)*E40</f>
        <v>0.9897047813667289</v>
      </c>
      <c r="F42" s="332">
        <f>C42*D42*$G$4*E42</f>
        <v>605.34025875741281</v>
      </c>
      <c r="G42" s="330"/>
      <c r="H42" s="330">
        <f t="shared" si="5"/>
        <v>102.12521511416305</v>
      </c>
      <c r="I42" s="330"/>
      <c r="J42" s="330"/>
      <c r="K42" s="296"/>
      <c r="L42" s="300">
        <f t="shared" si="9"/>
        <v>0.35034379112920433</v>
      </c>
      <c r="M42" s="318">
        <f>L42*D42*$G$4*E42*A42</f>
        <v>9708.2871687509596</v>
      </c>
      <c r="N42" s="318"/>
      <c r="O42" s="318">
        <f t="shared" si="6"/>
        <v>1637.8572235290303</v>
      </c>
      <c r="P42" s="318"/>
      <c r="Q42" s="318"/>
      <c r="R42" s="319"/>
      <c r="S42" s="347">
        <f t="shared" si="10"/>
        <v>0.3305130104992493</v>
      </c>
      <c r="T42" s="291">
        <f>S42*D42*$G$4*E42*A42*(A42+1)</f>
        <v>164857.70663916721</v>
      </c>
      <c r="U42" s="291"/>
      <c r="V42" s="291">
        <f t="shared" si="7"/>
        <v>27812.669833511827</v>
      </c>
      <c r="W42" s="291"/>
      <c r="X42" s="291"/>
      <c r="Y42" s="345"/>
    </row>
    <row r="43" spans="1:25" x14ac:dyDescent="0.25">
      <c r="A43" s="106">
        <f t="shared" si="11"/>
        <v>17.5</v>
      </c>
      <c r="B43" s="106">
        <f t="shared" si="12"/>
        <v>47.5</v>
      </c>
      <c r="C43" s="106">
        <f t="shared" si="8"/>
        <v>0.36070100956574902</v>
      </c>
      <c r="F43" s="332"/>
      <c r="G43" s="330"/>
      <c r="H43" s="330">
        <f t="shared" si="5"/>
        <v>99.192777630580991</v>
      </c>
      <c r="I43" s="330"/>
      <c r="J43" s="330"/>
      <c r="K43" s="296"/>
      <c r="L43" s="300">
        <f t="shared" si="9"/>
        <v>0.34028397128844246</v>
      </c>
      <c r="M43" s="318"/>
      <c r="N43" s="318"/>
      <c r="O43" s="318">
        <f t="shared" si="6"/>
        <v>1637.6166118256294</v>
      </c>
      <c r="P43" s="318"/>
      <c r="Q43" s="318"/>
      <c r="R43" s="319"/>
      <c r="S43" s="347">
        <f t="shared" si="10"/>
        <v>0.32102261442305891</v>
      </c>
      <c r="T43" s="291"/>
      <c r="U43" s="291"/>
      <c r="V43" s="291">
        <f t="shared" si="7"/>
        <v>28581.044640352964</v>
      </c>
      <c r="W43" s="291"/>
      <c r="X43" s="291"/>
      <c r="Y43" s="345"/>
    </row>
    <row r="44" spans="1:25" x14ac:dyDescent="0.25">
      <c r="A44" s="106">
        <f t="shared" si="11"/>
        <v>18</v>
      </c>
      <c r="B44" s="106">
        <f t="shared" si="12"/>
        <v>48</v>
      </c>
      <c r="C44" s="106">
        <f t="shared" si="8"/>
        <v>0.35034379112920433</v>
      </c>
      <c r="D44" s="106">
        <f>'Q2 Base'!B31</f>
        <v>1.1999999999999999E-3</v>
      </c>
      <c r="E44" s="106">
        <f>(1-D42)*E42</f>
        <v>0.9886180855167882</v>
      </c>
      <c r="F44" s="332">
        <f>C44*D44*$G$4*E44</f>
        <v>623.44117450592546</v>
      </c>
      <c r="G44" s="330"/>
      <c r="H44" s="330">
        <f t="shared" si="5"/>
        <v>96.344542560531195</v>
      </c>
      <c r="I44" s="330"/>
      <c r="J44" s="330"/>
      <c r="K44" s="296"/>
      <c r="L44" s="300">
        <f t="shared" si="9"/>
        <v>0.3305130104992493</v>
      </c>
      <c r="M44" s="318">
        <f>L44*D44*$G$4*E44*A44</f>
        <v>10586.736925572317</v>
      </c>
      <c r="N44" s="318"/>
      <c r="O44" s="318">
        <f t="shared" si="6"/>
        <v>1636.0394019712842</v>
      </c>
      <c r="P44" s="318"/>
      <c r="Q44" s="318"/>
      <c r="R44" s="319"/>
      <c r="S44" s="347">
        <f t="shared" si="10"/>
        <v>0.31180472688608429</v>
      </c>
      <c r="T44" s="291">
        <f>S44*D44*$G$4*E44*A44*(A44+1)</f>
        <v>189762.26564705098</v>
      </c>
      <c r="U44" s="291"/>
      <c r="V44" s="291">
        <f t="shared" si="7"/>
        <v>29325.234563636226</v>
      </c>
      <c r="W44" s="291"/>
      <c r="X44" s="291"/>
      <c r="Y44" s="345"/>
    </row>
    <row r="45" spans="1:25" x14ac:dyDescent="0.25">
      <c r="A45" s="106">
        <f t="shared" si="11"/>
        <v>18.5</v>
      </c>
      <c r="B45" s="106">
        <f t="shared" si="12"/>
        <v>48.5</v>
      </c>
      <c r="C45" s="106">
        <f t="shared" si="8"/>
        <v>0.34028397128844246</v>
      </c>
      <c r="F45" s="332"/>
      <c r="G45" s="330"/>
      <c r="H45" s="330">
        <f t="shared" si="5"/>
        <v>93.578092104321684</v>
      </c>
      <c r="I45" s="330"/>
      <c r="J45" s="330"/>
      <c r="K45" s="296"/>
      <c r="L45" s="300">
        <f t="shared" si="9"/>
        <v>0.32102261442305891</v>
      </c>
      <c r="M45" s="318"/>
      <c r="N45" s="318"/>
      <c r="O45" s="318">
        <f t="shared" si="6"/>
        <v>1633.2025508773122</v>
      </c>
      <c r="P45" s="318"/>
      <c r="Q45" s="318"/>
      <c r="R45" s="319"/>
      <c r="S45" s="347">
        <f t="shared" si="10"/>
        <v>0.30285152304062163</v>
      </c>
      <c r="T45" s="291"/>
      <c r="U45" s="291"/>
      <c r="V45" s="291">
        <f t="shared" si="7"/>
        <v>30044.763907648674</v>
      </c>
      <c r="W45" s="291"/>
      <c r="X45" s="291"/>
      <c r="Y45" s="345"/>
    </row>
    <row r="46" spans="1:25" x14ac:dyDescent="0.25">
      <c r="A46" s="106">
        <f t="shared" si="11"/>
        <v>19</v>
      </c>
      <c r="B46" s="106">
        <f t="shared" si="12"/>
        <v>49</v>
      </c>
      <c r="C46" s="106">
        <f t="shared" si="8"/>
        <v>0.3305130104992493</v>
      </c>
      <c r="D46" s="106">
        <f>'Q2 Base'!B32</f>
        <v>1.315E-3</v>
      </c>
      <c r="E46" s="106">
        <f>(1-D44)*E44</f>
        <v>0.98743174381416809</v>
      </c>
      <c r="F46" s="332">
        <f>C46*D46*$G$4*E46</f>
        <v>643.74320306754839</v>
      </c>
      <c r="G46" s="330"/>
      <c r="H46" s="330">
        <f t="shared" si="5"/>
        <v>90.891077887293562</v>
      </c>
      <c r="I46" s="330"/>
      <c r="J46" s="330"/>
      <c r="K46" s="296"/>
      <c r="L46" s="300">
        <f t="shared" si="9"/>
        <v>0.31180472688608429</v>
      </c>
      <c r="M46" s="318">
        <f>L46*D46*$G$4*E46*A46</f>
        <v>11538.79326253153</v>
      </c>
      <c r="N46" s="318"/>
      <c r="O46" s="318">
        <f t="shared" si="6"/>
        <v>1629.1796979797905</v>
      </c>
      <c r="P46" s="318"/>
      <c r="Q46" s="318"/>
      <c r="R46" s="319"/>
      <c r="S46" s="347">
        <f t="shared" si="10"/>
        <v>0.29415540272272095</v>
      </c>
      <c r="T46" s="291">
        <f>S46*D46*$G$4*E46*A46*(A46+1)</f>
        <v>217713.08042512319</v>
      </c>
      <c r="U46" s="291"/>
      <c r="V46" s="291">
        <f t="shared" si="7"/>
        <v>30739.239584524337</v>
      </c>
      <c r="W46" s="291"/>
      <c r="X46" s="291"/>
      <c r="Y46" s="345"/>
    </row>
    <row r="47" spans="1:25" x14ac:dyDescent="0.25">
      <c r="A47" s="106">
        <f t="shared" si="11"/>
        <v>19.5</v>
      </c>
      <c r="B47" s="106">
        <f t="shared" si="12"/>
        <v>49.5</v>
      </c>
      <c r="C47" s="106">
        <f t="shared" si="8"/>
        <v>0.32102261442305891</v>
      </c>
      <c r="F47" s="332"/>
      <c r="G47" s="330"/>
      <c r="H47" s="330">
        <f t="shared" si="5"/>
        <v>88.2812189663412</v>
      </c>
      <c r="I47" s="330"/>
      <c r="J47" s="330"/>
      <c r="K47" s="296"/>
      <c r="L47" s="300">
        <f t="shared" si="9"/>
        <v>0.30285152304062163</v>
      </c>
      <c r="M47" s="318"/>
      <c r="N47" s="318"/>
      <c r="O47" s="318">
        <f t="shared" si="6"/>
        <v>1624.0412923053339</v>
      </c>
      <c r="P47" s="318"/>
      <c r="Q47" s="318"/>
      <c r="R47" s="319"/>
      <c r="S47" s="347">
        <f t="shared" si="10"/>
        <v>0.28570898400058636</v>
      </c>
      <c r="T47" s="291"/>
      <c r="U47" s="291"/>
      <c r="V47" s="291">
        <f t="shared" si="7"/>
        <v>31408.345747414463</v>
      </c>
      <c r="W47" s="291"/>
      <c r="X47" s="291"/>
      <c r="Y47" s="345"/>
    </row>
    <row r="48" spans="1:25" x14ac:dyDescent="0.25">
      <c r="A48" s="106">
        <f t="shared" si="11"/>
        <v>20</v>
      </c>
      <c r="B48" s="106">
        <f t="shared" si="12"/>
        <v>50</v>
      </c>
      <c r="C48" s="106">
        <f t="shared" si="8"/>
        <v>0.31180472688608429</v>
      </c>
      <c r="D48" s="106">
        <f>'Q2 Base'!B33</f>
        <v>1.4469999999999999E-3</v>
      </c>
      <c r="E48" s="106">
        <f>(1-D46)*E46</f>
        <v>0.98613327107105253</v>
      </c>
      <c r="F48" s="332">
        <f>C48*D48*$G$4*E48</f>
        <v>667.38754362094107</v>
      </c>
      <c r="G48" s="330">
        <f>C48*E48*$G$4*(1-D48)</f>
        <v>460554.13534576475</v>
      </c>
      <c r="H48" s="330">
        <f t="shared" si="5"/>
        <v>85.746299893673182</v>
      </c>
      <c r="I48" s="330">
        <f>$H$4*$I$3*C48</f>
        <v>18006.722977671368</v>
      </c>
      <c r="J48" s="330"/>
      <c r="K48" s="296"/>
      <c r="L48" s="300">
        <f t="shared" si="9"/>
        <v>0.29415540272272095</v>
      </c>
      <c r="M48" s="318">
        <f>L48*D48*$G$4*E48*A48</f>
        <v>12592.217804168695</v>
      </c>
      <c r="N48" s="318">
        <f>L48*E48*$G$4*(1-D48)*A48</f>
        <v>8689700.6669012196</v>
      </c>
      <c r="O48" s="318">
        <f t="shared" si="6"/>
        <v>1617.8547149749652</v>
      </c>
      <c r="P48" s="318">
        <f>$H$4*$I$3*L48*A48</f>
        <v>339749.49014474265</v>
      </c>
      <c r="Q48" s="318"/>
      <c r="R48" s="319"/>
      <c r="S48" s="347">
        <f t="shared" si="10"/>
        <v>0.27750509690822728</v>
      </c>
      <c r="T48" s="291">
        <f>S48*D48*$G$4*E48*A48*(A48+1)</f>
        <v>249468.46593164394</v>
      </c>
      <c r="U48" s="291">
        <f>S48*E48*$G$4*(1-D48)*A48*(A48+1)</f>
        <v>172154447.17445812</v>
      </c>
      <c r="V48" s="291">
        <f t="shared" si="7"/>
        <v>32051.838692900248</v>
      </c>
      <c r="W48" s="291">
        <f>$H$4*$I$3*S48*A48*(A48+1)</f>
        <v>6730886.1255090535</v>
      </c>
      <c r="X48" s="291"/>
      <c r="Y48" s="345"/>
    </row>
    <row r="49" spans="1:25" x14ac:dyDescent="0.25">
      <c r="A49" s="106">
        <f t="shared" si="11"/>
        <v>20.5</v>
      </c>
      <c r="B49" s="106">
        <f t="shared" si="12"/>
        <v>50.5</v>
      </c>
      <c r="C49" s="106">
        <f t="shared" si="8"/>
        <v>0.30285152304062163</v>
      </c>
      <c r="F49" s="332"/>
      <c r="G49" s="330"/>
      <c r="H49" s="326"/>
      <c r="I49" s="326"/>
      <c r="J49" s="330"/>
      <c r="K49" s="296"/>
      <c r="L49" s="300">
        <f t="shared" si="9"/>
        <v>0.28570898400058636</v>
      </c>
      <c r="M49" s="318"/>
      <c r="N49" s="318"/>
      <c r="O49" s="318"/>
      <c r="P49" s="298"/>
      <c r="Q49" s="318"/>
      <c r="R49" s="319"/>
      <c r="S49" s="347">
        <f t="shared" si="10"/>
        <v>0.26953677735904374</v>
      </c>
      <c r="T49" s="291"/>
      <c r="U49" s="291"/>
      <c r="V49" s="291"/>
      <c r="W49" s="290"/>
      <c r="X49" s="291"/>
      <c r="Y49" s="345"/>
    </row>
    <row r="50" spans="1:25" x14ac:dyDescent="0.25">
      <c r="A50" s="106">
        <f t="shared" si="11"/>
        <v>21</v>
      </c>
      <c r="B50" s="106">
        <f t="shared" si="12"/>
        <v>51</v>
      </c>
      <c r="C50" s="106">
        <f t="shared" si="8"/>
        <v>0.29415540272272095</v>
      </c>
      <c r="F50" s="332"/>
      <c r="G50" s="330"/>
      <c r="H50" s="330"/>
      <c r="I50" s="330"/>
      <c r="J50" s="330"/>
      <c r="K50" s="296"/>
      <c r="L50" s="300">
        <f t="shared" si="9"/>
        <v>0.27750509690822728</v>
      </c>
      <c r="M50" s="318"/>
      <c r="N50" s="318"/>
      <c r="O50" s="318"/>
      <c r="P50" s="318"/>
      <c r="Q50" s="318"/>
      <c r="R50" s="319"/>
      <c r="S50" s="347">
        <f t="shared" si="10"/>
        <v>0.26179726123417668</v>
      </c>
      <c r="T50" s="291"/>
      <c r="U50" s="291"/>
      <c r="V50" s="291"/>
      <c r="W50" s="291"/>
      <c r="X50" s="291"/>
      <c r="Y50" s="345"/>
    </row>
    <row r="51" spans="1:25" x14ac:dyDescent="0.25">
      <c r="A51" s="106">
        <f t="shared" si="11"/>
        <v>21.5</v>
      </c>
      <c r="B51" s="106">
        <f t="shared" si="12"/>
        <v>51.5</v>
      </c>
      <c r="C51" s="106">
        <f t="shared" si="8"/>
        <v>0.28570898400058636</v>
      </c>
      <c r="F51" s="332"/>
      <c r="G51" s="330"/>
      <c r="H51" s="330"/>
      <c r="I51" s="330"/>
      <c r="J51" s="330"/>
      <c r="K51" s="296"/>
      <c r="L51" s="300">
        <f t="shared" si="9"/>
        <v>0.26953677735904374</v>
      </c>
      <c r="M51" s="318"/>
      <c r="N51" s="318"/>
      <c r="O51" s="318"/>
      <c r="P51" s="318"/>
      <c r="Q51" s="318"/>
      <c r="R51" s="319"/>
      <c r="S51" s="347">
        <f t="shared" si="10"/>
        <v>0.25427997864060731</v>
      </c>
      <c r="T51" s="291"/>
      <c r="U51" s="291"/>
      <c r="V51" s="291"/>
      <c r="W51" s="291"/>
      <c r="X51" s="291"/>
      <c r="Y51" s="345"/>
    </row>
    <row r="52" spans="1:25" x14ac:dyDescent="0.25">
      <c r="A52" s="106">
        <f t="shared" si="11"/>
        <v>22</v>
      </c>
      <c r="B52" s="106">
        <f t="shared" si="12"/>
        <v>52</v>
      </c>
      <c r="C52" s="106">
        <f t="shared" si="8"/>
        <v>0.27750509690822728</v>
      </c>
      <c r="F52" s="332"/>
      <c r="G52" s="330"/>
      <c r="H52" s="326"/>
      <c r="I52" s="326"/>
      <c r="J52" s="330"/>
      <c r="K52" s="296"/>
      <c r="L52" s="300">
        <f t="shared" si="9"/>
        <v>0.26179726123417668</v>
      </c>
      <c r="M52" s="318"/>
      <c r="N52" s="318"/>
      <c r="O52" s="298"/>
      <c r="P52" s="298"/>
      <c r="Q52" s="318"/>
      <c r="R52" s="319"/>
      <c r="S52" s="347">
        <f t="shared" si="10"/>
        <v>0.24697854833412897</v>
      </c>
      <c r="T52" s="291"/>
      <c r="U52" s="291"/>
      <c r="V52" s="290"/>
      <c r="W52" s="290"/>
      <c r="X52" s="291"/>
      <c r="Y52" s="345"/>
    </row>
    <row r="53" spans="1:25" x14ac:dyDescent="0.25">
      <c r="A53" s="106">
        <f t="shared" si="11"/>
        <v>22.5</v>
      </c>
      <c r="B53" s="106">
        <f t="shared" si="12"/>
        <v>52.5</v>
      </c>
      <c r="C53" s="106">
        <f t="shared" si="8"/>
        <v>0.26953677735904374</v>
      </c>
      <c r="F53" s="332"/>
      <c r="G53" s="330"/>
      <c r="H53" s="326"/>
      <c r="I53" s="326"/>
      <c r="J53" s="330"/>
      <c r="K53" s="296"/>
      <c r="L53" s="300">
        <f t="shared" si="9"/>
        <v>0.25427997864060731</v>
      </c>
      <c r="M53" s="318"/>
      <c r="N53" s="318"/>
      <c r="O53" s="298"/>
      <c r="P53" s="298"/>
      <c r="Q53" s="318"/>
      <c r="R53" s="319"/>
      <c r="S53" s="347">
        <f t="shared" si="10"/>
        <v>0.23988677230245972</v>
      </c>
      <c r="T53" s="291"/>
      <c r="U53" s="291"/>
      <c r="V53" s="290"/>
      <c r="W53" s="290"/>
      <c r="X53" s="291"/>
      <c r="Y53" s="345"/>
    </row>
    <row r="54" spans="1:25" x14ac:dyDescent="0.25">
      <c r="A54" s="106">
        <f t="shared" si="11"/>
        <v>23</v>
      </c>
      <c r="B54" s="106">
        <f t="shared" si="12"/>
        <v>53</v>
      </c>
      <c r="C54" s="106">
        <f t="shared" si="8"/>
        <v>0.26179726123417668</v>
      </c>
      <c r="F54" s="332"/>
      <c r="G54" s="330"/>
      <c r="H54" s="326"/>
      <c r="I54" s="326"/>
      <c r="J54" s="330"/>
      <c r="K54" s="296"/>
      <c r="L54" s="300">
        <f t="shared" si="9"/>
        <v>0.24697854833412897</v>
      </c>
      <c r="M54" s="318"/>
      <c r="N54" s="318"/>
      <c r="O54" s="298"/>
      <c r="P54" s="298"/>
      <c r="Q54" s="318"/>
      <c r="R54" s="319"/>
      <c r="S54" s="347">
        <f t="shared" si="10"/>
        <v>0.23299863050389524</v>
      </c>
      <c r="T54" s="291"/>
      <c r="U54" s="291"/>
      <c r="V54" s="290"/>
      <c r="W54" s="290"/>
      <c r="X54" s="291"/>
      <c r="Y54" s="345"/>
    </row>
    <row r="55" spans="1:25" x14ac:dyDescent="0.25">
      <c r="A55" s="106">
        <f t="shared" si="11"/>
        <v>23.5</v>
      </c>
      <c r="B55" s="106">
        <f t="shared" si="12"/>
        <v>53.5</v>
      </c>
      <c r="C55" s="106">
        <f t="shared" si="8"/>
        <v>0.25427997864060731</v>
      </c>
      <c r="F55" s="332"/>
      <c r="G55" s="330"/>
      <c r="H55" s="326"/>
      <c r="I55" s="326"/>
      <c r="J55" s="330"/>
      <c r="K55" s="296"/>
      <c r="L55" s="300">
        <f t="shared" si="9"/>
        <v>0.23988677230245972</v>
      </c>
      <c r="M55" s="318"/>
      <c r="N55" s="318"/>
      <c r="O55" s="298"/>
      <c r="P55" s="298"/>
      <c r="Q55" s="318"/>
      <c r="R55" s="319"/>
      <c r="S55" s="347">
        <f t="shared" si="10"/>
        <v>0.22630827575703746</v>
      </c>
      <c r="T55" s="291"/>
      <c r="U55" s="291"/>
      <c r="V55" s="290"/>
      <c r="W55" s="290"/>
      <c r="X55" s="291"/>
      <c r="Y55" s="345"/>
    </row>
    <row r="56" spans="1:25" x14ac:dyDescent="0.25">
      <c r="A56" s="106">
        <f t="shared" si="11"/>
        <v>24</v>
      </c>
      <c r="B56" s="106">
        <f t="shared" si="12"/>
        <v>54</v>
      </c>
      <c r="C56" s="106">
        <f t="shared" si="8"/>
        <v>0.24697854833412897</v>
      </c>
      <c r="F56" s="332"/>
      <c r="G56" s="330"/>
      <c r="H56" s="326"/>
      <c r="I56" s="326"/>
      <c r="J56" s="330"/>
      <c r="K56" s="296"/>
      <c r="L56" s="300">
        <f t="shared" si="9"/>
        <v>0.23299863050389524</v>
      </c>
      <c r="M56" s="318"/>
      <c r="N56" s="318"/>
      <c r="O56" s="298"/>
      <c r="P56" s="298"/>
      <c r="Q56" s="318"/>
      <c r="R56" s="319"/>
      <c r="S56" s="347">
        <f t="shared" si="10"/>
        <v>0.21981002877725966</v>
      </c>
      <c r="T56" s="291"/>
      <c r="U56" s="291"/>
      <c r="V56" s="290"/>
      <c r="W56" s="290"/>
      <c r="X56" s="291"/>
      <c r="Y56" s="345"/>
    </row>
    <row r="57" spans="1:25" x14ac:dyDescent="0.25">
      <c r="A57" s="106">
        <f t="shared" si="11"/>
        <v>24.5</v>
      </c>
      <c r="B57" s="106">
        <f t="shared" si="12"/>
        <v>54.5</v>
      </c>
      <c r="C57" s="106">
        <f t="shared" si="8"/>
        <v>0.23988677230245972</v>
      </c>
      <c r="F57" s="332"/>
      <c r="G57" s="330"/>
      <c r="H57" s="326"/>
      <c r="I57" s="326"/>
      <c r="J57" s="330"/>
      <c r="K57" s="296"/>
      <c r="L57" s="300">
        <f t="shared" si="9"/>
        <v>0.22630827575703746</v>
      </c>
      <c r="M57" s="318"/>
      <c r="N57" s="318"/>
      <c r="O57" s="298"/>
      <c r="P57" s="298"/>
      <c r="Q57" s="318"/>
      <c r="R57" s="319"/>
      <c r="S57" s="347">
        <f t="shared" si="10"/>
        <v>0.21349837335569574</v>
      </c>
      <c r="T57" s="291"/>
      <c r="U57" s="291"/>
      <c r="V57" s="290"/>
      <c r="W57" s="290"/>
      <c r="X57" s="291"/>
      <c r="Y57" s="345"/>
    </row>
    <row r="58" spans="1:25" x14ac:dyDescent="0.25">
      <c r="A58" s="106">
        <f t="shared" si="11"/>
        <v>25</v>
      </c>
      <c r="B58" s="106">
        <f t="shared" si="12"/>
        <v>55</v>
      </c>
      <c r="C58" s="106">
        <f t="shared" si="8"/>
        <v>0.23299863050389524</v>
      </c>
      <c r="F58" s="332"/>
      <c r="G58" s="330"/>
      <c r="H58" s="326"/>
      <c r="I58" s="326"/>
      <c r="J58" s="330"/>
      <c r="K58" s="296">
        <f>$K$4*C58</f>
        <v>296213.56391666032</v>
      </c>
      <c r="L58" s="300">
        <f t="shared" si="9"/>
        <v>0.21981002877725966</v>
      </c>
      <c r="M58" s="318"/>
      <c r="N58" s="318"/>
      <c r="O58" s="298"/>
      <c r="P58" s="298"/>
      <c r="Q58" s="318"/>
      <c r="R58" s="319">
        <f>$K$4*L58*A58</f>
        <v>6986168.9602985922</v>
      </c>
      <c r="S58" s="347">
        <f t="shared" si="10"/>
        <v>0.20736795167666003</v>
      </c>
      <c r="T58" s="291"/>
      <c r="U58" s="291"/>
      <c r="V58" s="290"/>
      <c r="W58" s="290"/>
      <c r="X58" s="291"/>
      <c r="Y58" s="345">
        <f>$K$4*S58*A58*(A58+1)</f>
        <v>171358861.29034281</v>
      </c>
    </row>
    <row r="59" spans="1:25" x14ac:dyDescent="0.25">
      <c r="F59" s="331"/>
      <c r="G59" s="326"/>
      <c r="H59" s="326"/>
      <c r="I59" s="326"/>
      <c r="J59" s="326"/>
      <c r="K59" s="295"/>
      <c r="L59" s="300"/>
      <c r="M59" s="298"/>
      <c r="N59" s="298"/>
      <c r="O59" s="298"/>
      <c r="P59" s="298"/>
      <c r="Q59" s="298"/>
      <c r="R59" s="316"/>
      <c r="S59" s="340"/>
      <c r="T59" s="290"/>
      <c r="U59" s="290"/>
      <c r="V59" s="290"/>
      <c r="W59" s="290"/>
      <c r="X59" s="290"/>
      <c r="Y59" s="342"/>
    </row>
    <row r="60" spans="1:25" x14ac:dyDescent="0.25">
      <c r="E60" s="122" t="s">
        <v>118</v>
      </c>
      <c r="F60" s="333">
        <f t="shared" ref="F60:K60" si="13">SUM(F8:F59)</f>
        <v>11657.51502070549</v>
      </c>
      <c r="G60" s="297">
        <f t="shared" si="13"/>
        <v>460554.13534576475</v>
      </c>
      <c r="H60" s="297">
        <f t="shared" si="13"/>
        <v>6401.7051669521297</v>
      </c>
      <c r="I60" s="297">
        <f t="shared" si="13"/>
        <v>18006.722977671368</v>
      </c>
      <c r="J60" s="297">
        <f t="shared" si="13"/>
        <v>151589.65830518643</v>
      </c>
      <c r="K60" s="297">
        <f t="shared" si="13"/>
        <v>296213.56391666032</v>
      </c>
      <c r="L60" s="300"/>
      <c r="M60" s="301">
        <f t="shared" ref="M60:R60" si="14">SUM(M8:M59)</f>
        <v>116746.52218873911</v>
      </c>
      <c r="N60" s="301">
        <f t="shared" si="14"/>
        <v>8689700.6669012196</v>
      </c>
      <c r="O60" s="301">
        <f t="shared" si="14"/>
        <v>50437.622559961739</v>
      </c>
      <c r="P60" s="301">
        <f t="shared" si="14"/>
        <v>339749.49014474265</v>
      </c>
      <c r="Q60" s="301">
        <f t="shared" si="14"/>
        <v>1430091.1160866641</v>
      </c>
      <c r="R60" s="320">
        <f t="shared" si="14"/>
        <v>6986168.9602985922</v>
      </c>
      <c r="S60" s="340"/>
      <c r="T60" s="292">
        <f t="shared" ref="T60:Y60" si="15">SUM(T8:T59)</f>
        <v>1641580.5029214057</v>
      </c>
      <c r="U60" s="292">
        <f t="shared" si="15"/>
        <v>172154447.17445812</v>
      </c>
      <c r="V60" s="292">
        <f t="shared" si="15"/>
        <v>622534.40907780174</v>
      </c>
      <c r="W60" s="292">
        <f t="shared" si="15"/>
        <v>6730886.1255090535</v>
      </c>
      <c r="X60" s="292">
        <f t="shared" si="15"/>
        <v>14840568.185805008</v>
      </c>
      <c r="Y60" s="348">
        <f t="shared" si="15"/>
        <v>171358861.29034281</v>
      </c>
    </row>
    <row r="61" spans="1:25" x14ac:dyDescent="0.25">
      <c r="E61" s="122"/>
      <c r="F61" s="331"/>
      <c r="G61" s="326"/>
      <c r="H61" s="326"/>
      <c r="I61" s="326"/>
      <c r="J61" s="326"/>
      <c r="K61" s="295"/>
      <c r="L61" s="300"/>
      <c r="M61" s="298"/>
      <c r="N61" s="298"/>
      <c r="O61" s="298"/>
      <c r="P61" s="298"/>
      <c r="Q61" s="298"/>
      <c r="R61" s="316"/>
      <c r="S61" s="340"/>
      <c r="T61" s="290"/>
      <c r="U61" s="290"/>
      <c r="V61" s="290"/>
      <c r="W61" s="290"/>
      <c r="X61" s="290"/>
      <c r="Y61" s="342"/>
    </row>
    <row r="62" spans="1:25" x14ac:dyDescent="0.25">
      <c r="E62" s="122" t="s">
        <v>119</v>
      </c>
      <c r="F62" s="331"/>
      <c r="G62" s="297">
        <f>F60+G60</f>
        <v>472211.65036647022</v>
      </c>
      <c r="H62" s="326"/>
      <c r="I62" s="326"/>
      <c r="J62" s="326"/>
      <c r="K62" s="295"/>
      <c r="L62" s="300"/>
      <c r="M62" s="299" t="s">
        <v>120</v>
      </c>
      <c r="N62" s="301">
        <f>M60+N60</f>
        <v>8806447.1890899595</v>
      </c>
      <c r="O62" s="298"/>
      <c r="P62" s="298"/>
      <c r="Q62" s="298"/>
      <c r="R62" s="316"/>
      <c r="S62" s="340"/>
      <c r="T62" s="343" t="s">
        <v>120</v>
      </c>
      <c r="U62" s="292">
        <f>T60+U60</f>
        <v>173796027.67737952</v>
      </c>
      <c r="V62" s="290"/>
      <c r="W62" s="290"/>
      <c r="X62" s="290"/>
      <c r="Y62" s="342"/>
    </row>
    <row r="63" spans="1:25" x14ac:dyDescent="0.25">
      <c r="E63" s="122"/>
      <c r="F63" s="331"/>
      <c r="G63" s="326"/>
      <c r="H63" s="326"/>
      <c r="I63" s="326"/>
      <c r="J63" s="326"/>
      <c r="K63" s="295"/>
      <c r="L63" s="300"/>
      <c r="M63" s="299"/>
      <c r="N63" s="298"/>
      <c r="O63" s="298"/>
      <c r="P63" s="298"/>
      <c r="Q63" s="298"/>
      <c r="R63" s="316"/>
      <c r="S63" s="340"/>
      <c r="T63" s="343"/>
      <c r="U63" s="290"/>
      <c r="V63" s="290"/>
      <c r="W63" s="290"/>
      <c r="X63" s="290"/>
      <c r="Y63" s="342"/>
    </row>
    <row r="64" spans="1:25" x14ac:dyDescent="0.25">
      <c r="E64" s="122" t="s">
        <v>121</v>
      </c>
      <c r="F64" s="331"/>
      <c r="G64" s="297">
        <f>SUM(H60:K60)</f>
        <v>472211.65036647022</v>
      </c>
      <c r="H64" s="326"/>
      <c r="I64" s="326"/>
      <c r="J64" s="326"/>
      <c r="K64" s="295"/>
      <c r="L64" s="300"/>
      <c r="M64" s="299" t="s">
        <v>122</v>
      </c>
      <c r="N64" s="301">
        <f>SUM(O60:R60)</f>
        <v>8806447.1890899613</v>
      </c>
      <c r="O64" s="298"/>
      <c r="P64" s="298"/>
      <c r="Q64" s="298"/>
      <c r="R64" s="316"/>
      <c r="S64" s="340"/>
      <c r="T64" s="343" t="s">
        <v>122</v>
      </c>
      <c r="U64" s="292">
        <f>SUM(V60:Y60)</f>
        <v>193552850.01073468</v>
      </c>
      <c r="V64" s="290"/>
      <c r="W64" s="290"/>
      <c r="X64" s="290"/>
      <c r="Y64" s="342"/>
    </row>
    <row r="65" spans="2:25" x14ac:dyDescent="0.25">
      <c r="F65" s="331"/>
      <c r="G65" s="326"/>
      <c r="H65" s="326"/>
      <c r="I65" s="326"/>
      <c r="J65" s="326"/>
      <c r="K65" s="295"/>
      <c r="L65" s="300"/>
      <c r="M65" s="299"/>
      <c r="N65" s="298"/>
      <c r="O65" s="298"/>
      <c r="P65" s="298"/>
      <c r="Q65" s="298"/>
      <c r="R65" s="316"/>
      <c r="S65" s="340"/>
      <c r="T65" s="343"/>
      <c r="U65" s="290"/>
      <c r="V65" s="290"/>
      <c r="W65" s="290"/>
      <c r="X65" s="290"/>
      <c r="Y65" s="342"/>
    </row>
    <row r="66" spans="2:25" x14ac:dyDescent="0.25">
      <c r="F66" s="331"/>
      <c r="G66" s="326"/>
      <c r="H66" s="326"/>
      <c r="I66" s="326"/>
      <c r="J66" s="326"/>
      <c r="K66" s="295"/>
      <c r="L66" s="300"/>
      <c r="M66" s="299" t="s">
        <v>123</v>
      </c>
      <c r="N66" s="301">
        <f>N62/G62</f>
        <v>18.649364500548689</v>
      </c>
      <c r="O66" s="305"/>
      <c r="P66" s="298"/>
      <c r="Q66" s="298"/>
      <c r="R66" s="316"/>
      <c r="S66" s="340"/>
      <c r="T66" s="343" t="s">
        <v>143</v>
      </c>
      <c r="U66" s="292">
        <f>U62/G62</f>
        <v>368.04688648088478</v>
      </c>
      <c r="V66" s="288" t="s">
        <v>34</v>
      </c>
      <c r="W66" s="290"/>
      <c r="X66" s="290"/>
      <c r="Y66" s="342"/>
    </row>
    <row r="67" spans="2:25" x14ac:dyDescent="0.25">
      <c r="F67" s="331"/>
      <c r="G67" s="326"/>
      <c r="H67" s="326"/>
      <c r="I67" s="326"/>
      <c r="J67" s="326"/>
      <c r="K67" s="295"/>
      <c r="L67" s="300"/>
      <c r="M67" s="299"/>
      <c r="N67" s="298"/>
      <c r="O67" s="306"/>
      <c r="P67" s="298"/>
      <c r="Q67" s="298"/>
      <c r="R67" s="316"/>
      <c r="S67" s="340"/>
      <c r="T67" s="343"/>
      <c r="U67" s="290"/>
      <c r="V67" s="349"/>
      <c r="W67" s="290"/>
      <c r="X67" s="290"/>
      <c r="Y67" s="342"/>
    </row>
    <row r="68" spans="2:25" x14ac:dyDescent="0.25">
      <c r="F68" s="334"/>
      <c r="G68" s="335"/>
      <c r="H68" s="335"/>
      <c r="I68" s="335"/>
      <c r="J68" s="335"/>
      <c r="K68" s="336"/>
      <c r="L68" s="307"/>
      <c r="M68" s="308" t="s">
        <v>124</v>
      </c>
      <c r="N68" s="309">
        <f>N64/G64</f>
        <v>18.649364500548693</v>
      </c>
      <c r="O68" s="310"/>
      <c r="P68" s="321"/>
      <c r="Q68" s="321"/>
      <c r="R68" s="322"/>
      <c r="S68" s="350"/>
      <c r="T68" s="351" t="s">
        <v>144</v>
      </c>
      <c r="U68" s="352">
        <f>U64/G64</f>
        <v>409.88579985378112</v>
      </c>
      <c r="V68" s="353" t="s">
        <v>34</v>
      </c>
      <c r="W68" s="354"/>
      <c r="X68" s="354"/>
      <c r="Y68" s="355"/>
    </row>
    <row r="70" spans="2:25" x14ac:dyDescent="0.25">
      <c r="B70" s="269" t="s">
        <v>145</v>
      </c>
      <c r="C70" s="269"/>
      <c r="D70" s="269"/>
      <c r="E70" s="269"/>
      <c r="F70" s="269"/>
      <c r="G70" s="269"/>
      <c r="H70" s="269"/>
      <c r="I70" s="269"/>
      <c r="J70" s="356"/>
      <c r="K70" s="269"/>
      <c r="L70" s="356"/>
      <c r="M70" s="269"/>
      <c r="N70" s="269"/>
      <c r="O70" s="269"/>
    </row>
    <row r="71" spans="2:25" x14ac:dyDescent="0.25">
      <c r="B71" s="269"/>
      <c r="C71" s="269"/>
      <c r="D71" s="269"/>
      <c r="E71" s="269"/>
      <c r="F71" s="269"/>
      <c r="G71" s="269"/>
      <c r="H71" s="269"/>
      <c r="I71" s="269" t="s">
        <v>146</v>
      </c>
      <c r="J71" s="356"/>
      <c r="K71" s="269"/>
      <c r="L71" s="356"/>
      <c r="M71" s="269"/>
      <c r="N71" s="269"/>
      <c r="O71" s="269"/>
    </row>
    <row r="72" spans="2:25" x14ac:dyDescent="0.25">
      <c r="B72" s="269">
        <v>1</v>
      </c>
      <c r="C72" s="269" t="s">
        <v>147</v>
      </c>
      <c r="D72" s="269"/>
      <c r="E72" s="269"/>
      <c r="F72" s="269"/>
      <c r="G72" s="269"/>
      <c r="H72" s="269"/>
      <c r="I72" s="269" t="s">
        <v>148</v>
      </c>
      <c r="J72" s="356" t="s">
        <v>149</v>
      </c>
      <c r="K72" s="357">
        <f>G64</f>
        <v>472211.65036647022</v>
      </c>
      <c r="L72" s="356" t="s">
        <v>125</v>
      </c>
      <c r="M72" s="357">
        <f>G62</f>
        <v>472211.65036647022</v>
      </c>
      <c r="N72" s="269"/>
      <c r="O72" s="269" t="b">
        <f>K72=M72</f>
        <v>1</v>
      </c>
    </row>
    <row r="73" spans="2:25" x14ac:dyDescent="0.25">
      <c r="B73" s="269"/>
      <c r="C73" s="269"/>
      <c r="D73" s="269"/>
      <c r="E73" s="269"/>
      <c r="F73" s="269"/>
      <c r="G73" s="269"/>
      <c r="H73" s="269"/>
      <c r="I73" s="269"/>
      <c r="J73" s="356"/>
      <c r="K73" s="269"/>
      <c r="L73" s="356"/>
      <c r="M73" s="269"/>
      <c r="N73" s="269"/>
      <c r="O73" s="269"/>
    </row>
    <row r="74" spans="2:25" x14ac:dyDescent="0.25">
      <c r="B74" s="269">
        <v>2</v>
      </c>
      <c r="C74" s="269" t="s">
        <v>150</v>
      </c>
      <c r="D74" s="269"/>
      <c r="E74" s="269"/>
      <c r="F74" s="269"/>
      <c r="G74" s="269"/>
      <c r="H74" s="269"/>
      <c r="I74" s="269" t="s">
        <v>109</v>
      </c>
      <c r="J74" s="356" t="s">
        <v>149</v>
      </c>
      <c r="K74" s="357">
        <f>N68</f>
        <v>18.649364500548693</v>
      </c>
      <c r="L74" s="356" t="s">
        <v>125</v>
      </c>
      <c r="M74" s="357">
        <f>N66</f>
        <v>18.649364500548689</v>
      </c>
      <c r="N74" s="269"/>
      <c r="O74" s="269" t="b">
        <f>K74=M74</f>
        <v>1</v>
      </c>
    </row>
    <row r="75" spans="2:25" x14ac:dyDescent="0.25">
      <c r="B75" s="269"/>
      <c r="C75" s="269"/>
      <c r="D75" s="269"/>
      <c r="E75" s="269"/>
      <c r="F75" s="269"/>
      <c r="G75" s="269"/>
      <c r="H75" s="269"/>
      <c r="I75" s="269"/>
      <c r="J75" s="356"/>
      <c r="K75" s="269"/>
      <c r="L75" s="356"/>
      <c r="M75" s="269"/>
      <c r="N75" s="269"/>
      <c r="O75" s="269"/>
    </row>
    <row r="76" spans="2:25" x14ac:dyDescent="0.25">
      <c r="B76" s="269">
        <v>3</v>
      </c>
      <c r="C76" s="269" t="s">
        <v>151</v>
      </c>
      <c r="D76" s="269"/>
      <c r="E76" s="269"/>
      <c r="F76" s="269"/>
      <c r="G76" s="269"/>
      <c r="H76" s="269"/>
      <c r="I76" s="269" t="s">
        <v>140</v>
      </c>
      <c r="J76" s="356" t="s">
        <v>149</v>
      </c>
      <c r="K76" s="357">
        <f>U68</f>
        <v>409.88579985378112</v>
      </c>
      <c r="L76" s="356" t="s">
        <v>125</v>
      </c>
      <c r="M76" s="357">
        <f>U66</f>
        <v>368.04688648088478</v>
      </c>
      <c r="N76" s="269"/>
      <c r="O76" s="269" t="b">
        <f>K76&gt;M76</f>
        <v>1</v>
      </c>
    </row>
    <row r="77" spans="2:25" x14ac:dyDescent="0.25">
      <c r="B77" s="269"/>
      <c r="C77" s="269"/>
      <c r="D77" s="269"/>
      <c r="E77" s="269"/>
      <c r="F77" s="269"/>
      <c r="G77" s="269"/>
      <c r="H77" s="269"/>
      <c r="I77" s="269"/>
      <c r="J77" s="356"/>
      <c r="K77" s="269"/>
      <c r="L77" s="356"/>
      <c r="M77" s="269"/>
      <c r="N77" s="269"/>
      <c r="O77" s="269"/>
    </row>
    <row r="78" spans="2:25" x14ac:dyDescent="0.25">
      <c r="B78" s="269" t="s">
        <v>152</v>
      </c>
      <c r="C78" s="269"/>
      <c r="D78" s="269"/>
      <c r="E78" s="269"/>
      <c r="F78" s="269"/>
      <c r="G78" s="269"/>
      <c r="H78" s="269"/>
      <c r="I78" s="269"/>
      <c r="J78" s="356"/>
      <c r="K78" s="269"/>
      <c r="L78" s="356"/>
      <c r="M78" s="269"/>
      <c r="N78" s="269"/>
      <c r="O78" s="268" t="s">
        <v>34</v>
      </c>
    </row>
    <row r="79" spans="2:25" x14ac:dyDescent="0.25">
      <c r="B79" s="269"/>
      <c r="C79" s="269"/>
      <c r="D79" s="269"/>
      <c r="E79" s="269"/>
      <c r="F79" s="269"/>
      <c r="G79" s="269"/>
      <c r="H79" s="269"/>
      <c r="I79" s="269"/>
      <c r="J79" s="269"/>
      <c r="K79" s="269"/>
      <c r="L79" s="269"/>
      <c r="M79" s="269"/>
      <c r="N79" s="269"/>
      <c r="O79" s="269"/>
    </row>
    <row r="80" spans="2:25" x14ac:dyDescent="0.25">
      <c r="B80" s="269"/>
      <c r="C80" s="269"/>
      <c r="D80" s="269"/>
      <c r="E80" s="269"/>
      <c r="F80" s="269"/>
      <c r="G80" s="269"/>
      <c r="H80" s="269"/>
      <c r="I80" s="269"/>
      <c r="J80" s="269"/>
      <c r="K80" s="269"/>
      <c r="L80" s="269"/>
      <c r="M80" s="269"/>
      <c r="N80" s="269"/>
      <c r="O80" s="269"/>
    </row>
  </sheetData>
  <mergeCells count="11">
    <mergeCell ref="F1:K1"/>
    <mergeCell ref="L1:R1"/>
    <mergeCell ref="F3:G3"/>
    <mergeCell ref="M3:N3"/>
    <mergeCell ref="T3:U3"/>
    <mergeCell ref="F5:K5"/>
    <mergeCell ref="M5:R5"/>
    <mergeCell ref="T1:U1"/>
    <mergeCell ref="X1:Y1"/>
    <mergeCell ref="V1:W1"/>
    <mergeCell ref="T5:Y5"/>
  </mergeCells>
  <printOptions gridLines="1"/>
  <pageMargins left="0.7" right="0.7" top="0.75" bottom="0.75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Q9"/>
  <sheetViews>
    <sheetView workbookViewId="0"/>
  </sheetViews>
  <sheetFormatPr defaultRowHeight="15" x14ac:dyDescent="0.25"/>
  <cols>
    <col min="1" max="16384" width="9.140625" style="106"/>
  </cols>
  <sheetData>
    <row r="2" spans="2:17" x14ac:dyDescent="0.25">
      <c r="B2" s="106" t="s">
        <v>153</v>
      </c>
      <c r="Q2" s="107" t="s">
        <v>47</v>
      </c>
    </row>
    <row r="4" spans="2:17" x14ac:dyDescent="0.25">
      <c r="B4" s="106" t="s">
        <v>154</v>
      </c>
      <c r="Q4" s="395" t="s">
        <v>47</v>
      </c>
    </row>
    <row r="5" spans="2:17" x14ac:dyDescent="0.25">
      <c r="B5" s="106" t="s">
        <v>155</v>
      </c>
      <c r="Q5" s="395"/>
    </row>
    <row r="7" spans="2:17" x14ac:dyDescent="0.25">
      <c r="B7" s="106" t="s">
        <v>156</v>
      </c>
      <c r="Q7" s="107" t="s">
        <v>34</v>
      </c>
    </row>
    <row r="9" spans="2:17" x14ac:dyDescent="0.25">
      <c r="Q9" s="162" t="s">
        <v>233</v>
      </c>
    </row>
  </sheetData>
  <mergeCells count="1">
    <mergeCell ref="Q4:Q5"/>
  </mergeCells>
  <printOptions gridLines="1"/>
  <pageMargins left="0.7" right="0.7" top="0.75" bottom="0.75" header="0.5" footer="0.5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26"/>
  <sheetViews>
    <sheetView workbookViewId="0"/>
  </sheetViews>
  <sheetFormatPr defaultRowHeight="15" x14ac:dyDescent="0.25"/>
  <cols>
    <col min="1" max="1" width="9.140625" style="106"/>
    <col min="2" max="2" width="10.5703125" style="106" customWidth="1"/>
    <col min="3" max="4" width="9.140625" style="106"/>
    <col min="5" max="5" width="13.28515625" style="106" bestFit="1" customWidth="1"/>
    <col min="6" max="8" width="9.140625" style="106"/>
    <col min="9" max="9" width="13.5703125" style="106" bestFit="1" customWidth="1"/>
    <col min="10" max="10" width="9.140625" style="122"/>
    <col min="11" max="11" width="11.5703125" style="106" bestFit="1" customWidth="1"/>
    <col min="12" max="12" width="11.85546875" style="122" customWidth="1"/>
    <col min="13" max="13" width="11.5703125" style="106" bestFit="1" customWidth="1"/>
    <col min="14" max="16384" width="9.140625" style="106"/>
  </cols>
  <sheetData>
    <row r="1" spans="1:15" x14ac:dyDescent="0.25">
      <c r="A1" s="106" t="s">
        <v>89</v>
      </c>
      <c r="B1" s="106" t="s">
        <v>157</v>
      </c>
      <c r="E1" s="126">
        <f>'Q2 (i) and (ii)'!G64</f>
        <v>472211.63178929762</v>
      </c>
    </row>
    <row r="2" spans="1:15" x14ac:dyDescent="0.25">
      <c r="B2" s="106" t="s">
        <v>158</v>
      </c>
      <c r="E2" s="126">
        <f>'Q2 (i) and (ii)'!G62</f>
        <v>472211.65036647022</v>
      </c>
    </row>
    <row r="5" spans="1:15" x14ac:dyDescent="0.25">
      <c r="A5" s="106" t="s">
        <v>91</v>
      </c>
      <c r="B5" s="106" t="s">
        <v>159</v>
      </c>
      <c r="E5" s="126">
        <f>'Q2 (i) and (ii)'!N68</f>
        <v>18.172020727870777</v>
      </c>
    </row>
    <row r="6" spans="1:15" x14ac:dyDescent="0.25">
      <c r="B6" s="106" t="s">
        <v>160</v>
      </c>
      <c r="E6" s="126">
        <f>'Q2 (i) and (ii)'!N66</f>
        <v>18.649364500548689</v>
      </c>
    </row>
    <row r="8" spans="1:15" x14ac:dyDescent="0.25">
      <c r="A8" s="106" t="s">
        <v>161</v>
      </c>
      <c r="B8" s="106" t="s">
        <v>162</v>
      </c>
      <c r="E8" s="126">
        <f>'Q2 (iii) (a)'!F18</f>
        <v>271473.99039556156</v>
      </c>
    </row>
    <row r="9" spans="1:15" x14ac:dyDescent="0.25">
      <c r="B9" s="106" t="s">
        <v>163</v>
      </c>
      <c r="E9" s="126">
        <f>'Q2 (iii) (a)'!F16</f>
        <v>1271310.3217647807</v>
      </c>
    </row>
    <row r="11" spans="1:15" x14ac:dyDescent="0.25">
      <c r="A11" s="106" t="s">
        <v>164</v>
      </c>
      <c r="B11" s="106" t="s">
        <v>145</v>
      </c>
    </row>
    <row r="12" spans="1:15" x14ac:dyDescent="0.25">
      <c r="I12" s="106" t="s">
        <v>146</v>
      </c>
    </row>
    <row r="13" spans="1:15" x14ac:dyDescent="0.25">
      <c r="B13" s="106">
        <v>1</v>
      </c>
      <c r="C13" s="106" t="s">
        <v>147</v>
      </c>
      <c r="I13" s="106" t="s">
        <v>148</v>
      </c>
      <c r="J13" s="122" t="s">
        <v>149</v>
      </c>
      <c r="K13" s="126">
        <f>'Q2 (iii)(b)'!K72</f>
        <v>472211.65036647022</v>
      </c>
      <c r="L13" s="122" t="s">
        <v>125</v>
      </c>
      <c r="M13" s="126">
        <f>'Q2 (iii)(b)'!M72</f>
        <v>472211.65036647022</v>
      </c>
      <c r="O13" s="106" t="b">
        <f>K13=M13</f>
        <v>1</v>
      </c>
    </row>
    <row r="14" spans="1:15" x14ac:dyDescent="0.25">
      <c r="K14" s="126"/>
      <c r="M14" s="126"/>
    </row>
    <row r="15" spans="1:15" x14ac:dyDescent="0.25">
      <c r="B15" s="106">
        <v>2</v>
      </c>
      <c r="C15" s="106" t="s">
        <v>150</v>
      </c>
      <c r="I15" s="106" t="s">
        <v>109</v>
      </c>
      <c r="J15" s="122" t="s">
        <v>149</v>
      </c>
      <c r="K15" s="126">
        <f>'Q2 (iii)(b)'!K74</f>
        <v>18.649364500548693</v>
      </c>
      <c r="L15" s="122" t="s">
        <v>125</v>
      </c>
      <c r="M15" s="126">
        <f>'Q2 (iii)(b)'!M74</f>
        <v>18.649364500548689</v>
      </c>
      <c r="O15" s="106" t="b">
        <f>K15=M15</f>
        <v>1</v>
      </c>
    </row>
    <row r="16" spans="1:15" x14ac:dyDescent="0.25">
      <c r="K16" s="126"/>
      <c r="M16" s="126"/>
    </row>
    <row r="17" spans="1:15" x14ac:dyDescent="0.25">
      <c r="B17" s="106">
        <v>3</v>
      </c>
      <c r="C17" s="106" t="s">
        <v>151</v>
      </c>
      <c r="I17" s="106" t="s">
        <v>140</v>
      </c>
      <c r="J17" s="122" t="s">
        <v>149</v>
      </c>
      <c r="K17" s="126">
        <f>'Q2 (iii)(b)'!K76</f>
        <v>409.88579985378112</v>
      </c>
      <c r="L17" s="122" t="s">
        <v>125</v>
      </c>
      <c r="M17" s="126">
        <f>'Q2 (iii)(b)'!M76</f>
        <v>368.04688648088478</v>
      </c>
      <c r="O17" s="106" t="b">
        <f>K17&gt;M17</f>
        <v>1</v>
      </c>
    </row>
    <row r="19" spans="1:15" x14ac:dyDescent="0.25">
      <c r="B19" s="106" t="s">
        <v>152</v>
      </c>
    </row>
    <row r="21" spans="1:15" x14ac:dyDescent="0.25">
      <c r="A21" s="106" t="s">
        <v>165</v>
      </c>
      <c r="B21" s="106" t="str">
        <f>'Q2 (iv)'!B2</f>
        <v>A small decrease in interest rates will mean that the present value of both assets and liabilities will rise.</v>
      </c>
    </row>
    <row r="23" spans="1:15" x14ac:dyDescent="0.25">
      <c r="B23" s="106" t="str">
        <f>'Q2 (iv)'!B4</f>
        <v>As the convexity of the assets is greater than that of the liabilities, then the value of assets will rise by more than the value of the liabilites.</v>
      </c>
    </row>
    <row r="24" spans="1:15" x14ac:dyDescent="0.25">
      <c r="B24" s="106" t="str">
        <f>'Q2 (iv)'!B5</f>
        <v>There is a greater positive contribution from the convexity term in the present value of the assets than that of the present value of the liabilities</v>
      </c>
    </row>
    <row r="26" spans="1:15" x14ac:dyDescent="0.25">
      <c r="B26" s="106" t="str">
        <f>'Q2 (iv)'!B7</f>
        <v>The above only holds for a small reduction in interest rates.</v>
      </c>
    </row>
  </sheetData>
  <printOptions gridLines="1"/>
  <pageMargins left="0.7" right="0.7" top="0.75" bottom="0.75" header="0.5" footer="0.5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G14"/>
  <sheetViews>
    <sheetView workbookViewId="0"/>
  </sheetViews>
  <sheetFormatPr defaultRowHeight="15" x14ac:dyDescent="0.25"/>
  <cols>
    <col min="1" max="1" width="9.140625" style="139"/>
    <col min="2" max="2" width="13.5703125" style="139" customWidth="1"/>
    <col min="3" max="3" width="20.28515625" style="139" customWidth="1"/>
    <col min="4" max="4" width="10.5703125" style="139" bestFit="1" customWidth="1"/>
    <col min="5" max="5" width="82.85546875" style="139" bestFit="1" customWidth="1"/>
    <col min="6" max="6" width="6.140625" style="139" bestFit="1" customWidth="1"/>
    <col min="7" max="7" width="49.28515625" style="139" bestFit="1" customWidth="1"/>
    <col min="8" max="13" width="9.28515625" style="139" customWidth="1"/>
    <col min="14" max="16384" width="9.140625" style="139"/>
  </cols>
  <sheetData>
    <row r="2" spans="2:7" x14ac:dyDescent="0.25">
      <c r="B2" s="140" t="s">
        <v>166</v>
      </c>
    </row>
    <row r="4" spans="2:7" x14ac:dyDescent="0.25">
      <c r="B4" s="139" t="s">
        <v>167</v>
      </c>
      <c r="C4" s="139" t="s">
        <v>168</v>
      </c>
    </row>
    <row r="5" spans="2:7" x14ac:dyDescent="0.25">
      <c r="C5" s="139" t="s">
        <v>169</v>
      </c>
    </row>
    <row r="7" spans="2:7" x14ac:dyDescent="0.25">
      <c r="B7" s="139" t="s">
        <v>170</v>
      </c>
      <c r="C7" s="139" t="s">
        <v>171</v>
      </c>
      <c r="D7" s="141">
        <v>1500000</v>
      </c>
      <c r="E7" s="139" t="s">
        <v>172</v>
      </c>
    </row>
    <row r="8" spans="2:7" x14ac:dyDescent="0.25">
      <c r="C8" s="139" t="s">
        <v>173</v>
      </c>
      <c r="D8" s="141">
        <v>100000</v>
      </c>
      <c r="E8" s="139" t="s">
        <v>174</v>
      </c>
    </row>
    <row r="9" spans="2:7" x14ac:dyDescent="0.25">
      <c r="D9" s="142"/>
    </row>
    <row r="10" spans="2:7" x14ac:dyDescent="0.25">
      <c r="B10" s="139" t="s">
        <v>175</v>
      </c>
      <c r="C10" s="139" t="s">
        <v>173</v>
      </c>
      <c r="D10" s="141">
        <v>100000</v>
      </c>
      <c r="E10" s="139" t="s">
        <v>176</v>
      </c>
      <c r="F10" s="143">
        <v>5.0000000000000001E-3</v>
      </c>
      <c r="G10" s="139" t="s">
        <v>177</v>
      </c>
    </row>
    <row r="11" spans="2:7" x14ac:dyDescent="0.25">
      <c r="C11" s="139" t="s">
        <v>178</v>
      </c>
      <c r="D11" s="141">
        <v>350000</v>
      </c>
      <c r="E11" s="139" t="s">
        <v>179</v>
      </c>
      <c r="F11" s="143">
        <v>5.0000000000000001E-3</v>
      </c>
      <c r="G11" s="139" t="s">
        <v>180</v>
      </c>
    </row>
    <row r="13" spans="2:7" x14ac:dyDescent="0.25">
      <c r="B13" s="139" t="s">
        <v>181</v>
      </c>
      <c r="C13" t="s">
        <v>182</v>
      </c>
      <c r="D13" s="142"/>
      <c r="E13" s="144"/>
    </row>
    <row r="14" spans="2:7" x14ac:dyDescent="0.25">
      <c r="D14" s="142"/>
    </row>
  </sheetData>
  <printOptions gridLines="1"/>
  <pageMargins left="0.7" right="0.7" top="0.75" bottom="0.75" header="0.5" footer="0.5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G25"/>
  <sheetViews>
    <sheetView workbookViewId="0"/>
  </sheetViews>
  <sheetFormatPr defaultRowHeight="15" x14ac:dyDescent="0.25"/>
  <cols>
    <col min="2" max="2" width="13.5703125" customWidth="1"/>
    <col min="3" max="3" width="32.140625" customWidth="1"/>
    <col min="4" max="4" width="10.140625" customWidth="1"/>
    <col min="5" max="5" width="9.42578125" customWidth="1"/>
    <col min="6" max="6" width="4.85546875" customWidth="1"/>
  </cols>
  <sheetData>
    <row r="2" spans="2:7" x14ac:dyDescent="0.25">
      <c r="B2" s="140" t="s">
        <v>183</v>
      </c>
    </row>
    <row r="4" spans="2:7" x14ac:dyDescent="0.25">
      <c r="B4" t="s">
        <v>167</v>
      </c>
      <c r="C4" t="s">
        <v>184</v>
      </c>
    </row>
    <row r="5" spans="2:7" x14ac:dyDescent="0.25">
      <c r="C5" t="s">
        <v>185</v>
      </c>
    </row>
    <row r="7" spans="2:7" x14ac:dyDescent="0.25">
      <c r="C7" t="s">
        <v>186</v>
      </c>
    </row>
    <row r="8" spans="2:7" x14ac:dyDescent="0.25">
      <c r="C8" t="s">
        <v>187</v>
      </c>
      <c r="D8" s="145">
        <v>255000</v>
      </c>
      <c r="E8" t="s">
        <v>188</v>
      </c>
    </row>
    <row r="9" spans="2:7" x14ac:dyDescent="0.25">
      <c r="C9" t="s">
        <v>189</v>
      </c>
      <c r="F9" s="146">
        <v>0.02</v>
      </c>
      <c r="G9" s="161" t="s">
        <v>232</v>
      </c>
    </row>
    <row r="11" spans="2:7" x14ac:dyDescent="0.25">
      <c r="B11" t="s">
        <v>175</v>
      </c>
      <c r="C11" t="s">
        <v>190</v>
      </c>
    </row>
    <row r="12" spans="2:7" x14ac:dyDescent="0.25">
      <c r="C12" s="147" t="s">
        <v>191</v>
      </c>
    </row>
    <row r="14" spans="2:7" x14ac:dyDescent="0.25">
      <c r="B14" t="s">
        <v>170</v>
      </c>
      <c r="C14" t="s">
        <v>171</v>
      </c>
      <c r="D14" s="148">
        <v>500000</v>
      </c>
      <c r="E14" t="s">
        <v>192</v>
      </c>
    </row>
    <row r="15" spans="2:7" x14ac:dyDescent="0.25">
      <c r="C15" t="s">
        <v>193</v>
      </c>
      <c r="D15" s="148">
        <v>500000</v>
      </c>
      <c r="E15" t="s">
        <v>194</v>
      </c>
    </row>
    <row r="16" spans="2:7" x14ac:dyDescent="0.25">
      <c r="C16" t="s">
        <v>173</v>
      </c>
      <c r="D16" s="148">
        <v>100000</v>
      </c>
      <c r="E16" t="s">
        <v>195</v>
      </c>
    </row>
    <row r="19" spans="2:4" x14ac:dyDescent="0.25">
      <c r="B19" t="s">
        <v>196</v>
      </c>
      <c r="C19" t="s">
        <v>182</v>
      </c>
    </row>
    <row r="25" spans="2:4" x14ac:dyDescent="0.25">
      <c r="D25" s="149"/>
    </row>
  </sheetData>
  <printOptions gridLines="1"/>
  <pageMargins left="0.7" right="0.7" top="0.75" bottom="0.75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Y23"/>
  <sheetViews>
    <sheetView workbookViewId="0"/>
  </sheetViews>
  <sheetFormatPr defaultRowHeight="15" x14ac:dyDescent="0.25"/>
  <cols>
    <col min="4" max="4" width="11.7109375" bestFit="1" customWidth="1"/>
    <col min="5" max="7" width="11.7109375" customWidth="1"/>
    <col min="8" max="12" width="11.5703125" customWidth="1"/>
    <col min="13" max="13" width="10.5703125" bestFit="1" customWidth="1"/>
    <col min="14" max="14" width="4.28515625" customWidth="1"/>
    <col min="15" max="15" width="15.140625" customWidth="1"/>
    <col min="17" max="17" width="11.140625" customWidth="1"/>
    <col min="18" max="18" width="9.7109375" customWidth="1"/>
    <col min="19" max="19" width="12.5703125" customWidth="1"/>
    <col min="20" max="20" width="9.7109375" customWidth="1"/>
    <col min="21" max="21" width="12.140625" customWidth="1"/>
    <col min="22" max="22" width="10.5703125" bestFit="1" customWidth="1"/>
    <col min="24" max="24" width="3.5703125" customWidth="1"/>
    <col min="25" max="25" width="24.5703125" customWidth="1"/>
  </cols>
  <sheetData>
    <row r="1" spans="2:25" x14ac:dyDescent="0.25"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</row>
    <row r="2" spans="2:25" x14ac:dyDescent="0.25">
      <c r="B2" s="139"/>
      <c r="C2" s="139"/>
      <c r="D2" s="150" t="s">
        <v>166</v>
      </c>
      <c r="E2" s="151"/>
      <c r="F2" s="151"/>
      <c r="G2" s="151"/>
      <c r="H2" s="151"/>
      <c r="I2" s="151"/>
      <c r="J2" s="151"/>
      <c r="K2" s="151"/>
      <c r="L2" s="151"/>
      <c r="M2" s="152"/>
      <c r="N2" s="139"/>
      <c r="O2" s="150" t="s">
        <v>183</v>
      </c>
      <c r="P2" s="151"/>
      <c r="Q2" s="151"/>
      <c r="R2" s="151"/>
      <c r="S2" s="151"/>
      <c r="T2" s="151"/>
      <c r="U2" s="151"/>
      <c r="V2" s="152"/>
      <c r="W2" s="139"/>
    </row>
    <row r="3" spans="2:25" x14ac:dyDescent="0.25"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</row>
    <row r="4" spans="2:25" ht="51" x14ac:dyDescent="0.25">
      <c r="B4" s="140" t="s">
        <v>197</v>
      </c>
      <c r="C4" s="153" t="s">
        <v>198</v>
      </c>
      <c r="D4" s="153" t="s">
        <v>199</v>
      </c>
      <c r="E4" s="153" t="s">
        <v>200</v>
      </c>
      <c r="F4" s="153" t="s">
        <v>201</v>
      </c>
      <c r="G4" s="153" t="s">
        <v>202</v>
      </c>
      <c r="H4" s="153" t="s">
        <v>203</v>
      </c>
      <c r="I4" s="153" t="s">
        <v>251</v>
      </c>
      <c r="J4" s="153" t="s">
        <v>252</v>
      </c>
      <c r="K4" s="153" t="s">
        <v>253</v>
      </c>
      <c r="L4" s="153" t="s">
        <v>254</v>
      </c>
      <c r="M4" s="140" t="s">
        <v>80</v>
      </c>
      <c r="N4" s="139"/>
      <c r="O4" s="153" t="s">
        <v>204</v>
      </c>
      <c r="P4" s="153" t="s">
        <v>205</v>
      </c>
      <c r="Q4" s="153" t="s">
        <v>206</v>
      </c>
      <c r="R4" s="153" t="s">
        <v>203</v>
      </c>
      <c r="S4" s="153" t="s">
        <v>255</v>
      </c>
      <c r="T4" s="153" t="s">
        <v>256</v>
      </c>
      <c r="U4" s="153" t="s">
        <v>252</v>
      </c>
      <c r="V4" s="140" t="s">
        <v>80</v>
      </c>
      <c r="W4" s="139"/>
      <c r="X4" s="154" t="s">
        <v>207</v>
      </c>
      <c r="Y4" s="155"/>
    </row>
    <row r="5" spans="2:25" x14ac:dyDescent="0.25">
      <c r="B5" s="139">
        <v>1</v>
      </c>
      <c r="C5" s="139">
        <f>(1.06)^-(B5 -0.5)</f>
        <v>0.97128586235726422</v>
      </c>
      <c r="D5" s="142">
        <f>-'Q3 ProjectA Data'!D7</f>
        <v>-1500000</v>
      </c>
      <c r="E5" s="142"/>
      <c r="F5" s="142"/>
      <c r="G5" s="142"/>
      <c r="H5" s="142">
        <f t="shared" ref="H5:H14" si="0">SUM(D5:G5)</f>
        <v>-1500000</v>
      </c>
      <c r="I5" s="142">
        <f>$C5*D5</f>
        <v>-1456928.7935358963</v>
      </c>
      <c r="J5" s="142">
        <f t="shared" ref="J5:L14" si="1">$C5*E5</f>
        <v>0</v>
      </c>
      <c r="K5" s="142">
        <f t="shared" si="1"/>
        <v>0</v>
      </c>
      <c r="L5" s="142">
        <f t="shared" si="1"/>
        <v>0</v>
      </c>
      <c r="M5" s="142">
        <f>SUM(I5:L5)</f>
        <v>-1456928.7935358963</v>
      </c>
      <c r="N5" s="139"/>
      <c r="O5" s="142"/>
      <c r="P5" s="142">
        <f>-'Q3 ProjectB Data'!D14</f>
        <v>-500000</v>
      </c>
      <c r="Q5" s="142"/>
      <c r="R5" s="142">
        <f t="shared" ref="R5:R19" si="2">SUM(O5:Q5)</f>
        <v>-500000</v>
      </c>
      <c r="S5" s="142">
        <f>$C5*O5</f>
        <v>0</v>
      </c>
      <c r="T5" s="142">
        <f t="shared" ref="T5:U19" si="3">$C5*P5</f>
        <v>-485642.93117863213</v>
      </c>
      <c r="U5" s="142">
        <f t="shared" si="3"/>
        <v>0</v>
      </c>
      <c r="V5" s="142">
        <f>SUM(S5:U5)</f>
        <v>-485642.93117863213</v>
      </c>
      <c r="W5" s="139"/>
      <c r="X5" s="156">
        <v>1</v>
      </c>
      <c r="Y5" s="157" t="s">
        <v>208</v>
      </c>
    </row>
    <row r="6" spans="2:25" x14ac:dyDescent="0.25">
      <c r="B6" s="139">
        <v>2</v>
      </c>
      <c r="C6" s="139">
        <f>(1.06)^-(B6 -0.5)</f>
        <v>0.91630741731817356</v>
      </c>
      <c r="D6" s="139"/>
      <c r="E6" s="142">
        <f>-'Q3 ProjectA Data'!$D$8</f>
        <v>-100000</v>
      </c>
      <c r="F6" s="142">
        <f>'Q3 ProjectA Data'!$D$10</f>
        <v>100000</v>
      </c>
      <c r="G6" s="142"/>
      <c r="H6" s="142">
        <f t="shared" si="0"/>
        <v>0</v>
      </c>
      <c r="I6" s="142">
        <f t="shared" ref="I6:I14" si="4">$C6*D6</f>
        <v>0</v>
      </c>
      <c r="J6" s="142">
        <f t="shared" si="1"/>
        <v>-91630.741731817354</v>
      </c>
      <c r="K6" s="142">
        <f t="shared" si="1"/>
        <v>91630.741731817354</v>
      </c>
      <c r="L6" s="142">
        <f t="shared" si="1"/>
        <v>0</v>
      </c>
      <c r="M6" s="142">
        <f t="shared" ref="M6:M14" si="5">SUM(I6:L6)</f>
        <v>0</v>
      </c>
      <c r="N6" s="139"/>
      <c r="O6" s="142"/>
      <c r="P6" s="142">
        <f>-'Q3 ProjectB Data'!D15</f>
        <v>-500000</v>
      </c>
      <c r="Q6" s="142">
        <f>-'Q3 ProjectB Data'!$D$16</f>
        <v>-100000</v>
      </c>
      <c r="R6" s="142">
        <f t="shared" si="2"/>
        <v>-600000</v>
      </c>
      <c r="S6" s="142">
        <f t="shared" ref="S6:S19" si="6">$C6*O6</f>
        <v>0</v>
      </c>
      <c r="T6" s="142">
        <f t="shared" si="3"/>
        <v>-458153.70865908678</v>
      </c>
      <c r="U6" s="142">
        <f t="shared" si="3"/>
        <v>-91630.741731817354</v>
      </c>
      <c r="V6" s="142">
        <f t="shared" ref="V6:V19" si="7">SUM(S6:U6)</f>
        <v>-549784.45039090409</v>
      </c>
      <c r="W6" s="139"/>
      <c r="X6" s="156">
        <v>1</v>
      </c>
      <c r="Y6" s="157" t="s">
        <v>209</v>
      </c>
    </row>
    <row r="7" spans="2:25" x14ac:dyDescent="0.25">
      <c r="B7" s="139">
        <v>3</v>
      </c>
      <c r="C7" s="139">
        <f t="shared" ref="C7:C19" si="8">(1.06)^-(B7-0.5)</f>
        <v>0.86444095973412605</v>
      </c>
      <c r="D7" s="139"/>
      <c r="E7" s="142">
        <f>-'Q3 ProjectA Data'!$D$8</f>
        <v>-100000</v>
      </c>
      <c r="F7" s="142">
        <f>F6*(1+'Q3 ProjectA Data'!$F$10)</f>
        <v>100499.99999999999</v>
      </c>
      <c r="G7" s="142">
        <f>'Q3 ProjectA Data'!$D$11</f>
        <v>350000</v>
      </c>
      <c r="H7" s="142">
        <f>SUM(D7:G7)</f>
        <v>350500</v>
      </c>
      <c r="I7" s="142">
        <f t="shared" si="4"/>
        <v>0</v>
      </c>
      <c r="J7" s="142">
        <f t="shared" si="1"/>
        <v>-86444.095973412608</v>
      </c>
      <c r="K7" s="142">
        <f t="shared" si="1"/>
        <v>86876.316453279651</v>
      </c>
      <c r="L7" s="142">
        <f t="shared" si="1"/>
        <v>302554.33590694412</v>
      </c>
      <c r="M7" s="142">
        <f t="shared" si="5"/>
        <v>302986.55638681119</v>
      </c>
      <c r="N7" s="139"/>
      <c r="O7" s="142">
        <f>'Q3 ProjectB Data'!$D$8*(1+'Q3 ProjectB Data'!$F$9)^B6</f>
        <v>265302</v>
      </c>
      <c r="P7" s="139"/>
      <c r="Q7" s="142">
        <f>-'Q3 ProjectB Data'!$D$16</f>
        <v>-100000</v>
      </c>
      <c r="R7" s="142">
        <f t="shared" si="2"/>
        <v>165302</v>
      </c>
      <c r="S7" s="142">
        <f t="shared" si="6"/>
        <v>229337.91549938312</v>
      </c>
      <c r="T7" s="142">
        <f t="shared" si="3"/>
        <v>0</v>
      </c>
      <c r="U7" s="142">
        <f t="shared" si="3"/>
        <v>-86444.095973412608</v>
      </c>
      <c r="V7" s="142">
        <f t="shared" si="7"/>
        <v>142893.8195259705</v>
      </c>
      <c r="W7" s="139"/>
      <c r="X7" s="156">
        <v>1</v>
      </c>
      <c r="Y7" s="157" t="s">
        <v>210</v>
      </c>
    </row>
    <row r="8" spans="2:25" x14ac:dyDescent="0.25">
      <c r="B8" s="139">
        <v>4</v>
      </c>
      <c r="C8" s="139">
        <f t="shared" si="8"/>
        <v>0.81551033937181705</v>
      </c>
      <c r="D8" s="139"/>
      <c r="E8" s="142">
        <f>-'Q3 ProjectA Data'!$D$8</f>
        <v>-100000</v>
      </c>
      <c r="F8" s="142">
        <f>F7*(1+'Q3 ProjectA Data'!$F$10)</f>
        <v>101002.49999999997</v>
      </c>
      <c r="G8" s="142">
        <f>G7*(1+'Q3 ProjectA Data'!$F$11)</f>
        <v>351749.99999999994</v>
      </c>
      <c r="H8" s="142">
        <f t="shared" si="0"/>
        <v>352752.49999999988</v>
      </c>
      <c r="I8" s="142">
        <f t="shared" si="4"/>
        <v>0</v>
      </c>
      <c r="J8" s="142">
        <f t="shared" si="1"/>
        <v>-81551.03393718171</v>
      </c>
      <c r="K8" s="142">
        <f t="shared" si="1"/>
        <v>82368.583052401926</v>
      </c>
      <c r="L8" s="142">
        <f t="shared" si="1"/>
        <v>286855.76187403657</v>
      </c>
      <c r="M8" s="142">
        <f t="shared" si="5"/>
        <v>287673.31098925677</v>
      </c>
      <c r="N8" s="139"/>
      <c r="O8" s="142">
        <f>'Q3 ProjectB Data'!$D$8*(1+'Q3 ProjectB Data'!$F$9)^B7</f>
        <v>270608.03999999998</v>
      </c>
      <c r="P8" s="139"/>
      <c r="Q8" s="142">
        <f>-'Q3 ProjectB Data'!$D$16</f>
        <v>-100000</v>
      </c>
      <c r="R8" s="142">
        <f t="shared" si="2"/>
        <v>170608.03999999998</v>
      </c>
      <c r="S8" s="142">
        <f t="shared" si="6"/>
        <v>220683.65453714223</v>
      </c>
      <c r="T8" s="142">
        <f t="shared" si="3"/>
        <v>0</v>
      </c>
      <c r="U8" s="142">
        <f t="shared" si="3"/>
        <v>-81551.03393718171</v>
      </c>
      <c r="V8" s="142">
        <f t="shared" si="7"/>
        <v>139132.6205999605</v>
      </c>
      <c r="W8" s="139"/>
      <c r="X8" s="156">
        <v>1</v>
      </c>
      <c r="Y8" s="157" t="s">
        <v>211</v>
      </c>
    </row>
    <row r="9" spans="2:25" x14ac:dyDescent="0.25">
      <c r="B9" s="139">
        <v>5</v>
      </c>
      <c r="C9" s="139">
        <f t="shared" si="8"/>
        <v>0.76934937676586501</v>
      </c>
      <c r="D9" s="139"/>
      <c r="E9" s="142">
        <f>-'Q3 ProjectA Data'!$D$8</f>
        <v>-100000</v>
      </c>
      <c r="F9" s="142">
        <f>F8*(1+'Q3 ProjectA Data'!$F$10)</f>
        <v>101507.51249999995</v>
      </c>
      <c r="G9" s="142">
        <f>G8*(1+'Q3 ProjectA Data'!$F$11)</f>
        <v>353508.74999999988</v>
      </c>
      <c r="H9" s="142">
        <f t="shared" si="0"/>
        <v>355016.26249999984</v>
      </c>
      <c r="I9" s="142">
        <f t="shared" si="4"/>
        <v>0</v>
      </c>
      <c r="J9" s="142">
        <f t="shared" si="1"/>
        <v>-76934.937676586502</v>
      </c>
      <c r="K9" s="142">
        <f t="shared" si="1"/>
        <v>78094.741478928219</v>
      </c>
      <c r="L9" s="142">
        <f t="shared" si="1"/>
        <v>271971.73649377987</v>
      </c>
      <c r="M9" s="142">
        <f t="shared" si="5"/>
        <v>273131.54029612162</v>
      </c>
      <c r="N9" s="142"/>
      <c r="O9" s="142">
        <f>'Q3 ProjectB Data'!$D$8*(1+'Q3 ProjectB Data'!$F$9)^B8</f>
        <v>276020.20079999999</v>
      </c>
      <c r="P9" s="139"/>
      <c r="Q9" s="142">
        <f>-'Q3 ProjectB Data'!$D$16</f>
        <v>-100000</v>
      </c>
      <c r="R9" s="142">
        <f t="shared" si="2"/>
        <v>176020.20079999999</v>
      </c>
      <c r="S9" s="142">
        <f t="shared" si="6"/>
        <v>212355.96946026891</v>
      </c>
      <c r="T9" s="142">
        <f t="shared" si="3"/>
        <v>0</v>
      </c>
      <c r="U9" s="142">
        <f t="shared" si="3"/>
        <v>-76934.937676586502</v>
      </c>
      <c r="V9" s="142">
        <f t="shared" si="7"/>
        <v>135421.03178368241</v>
      </c>
      <c r="W9" s="139"/>
      <c r="X9" s="156">
        <v>2</v>
      </c>
      <c r="Y9" s="157" t="s">
        <v>212</v>
      </c>
    </row>
    <row r="10" spans="2:25" x14ac:dyDescent="0.25">
      <c r="B10" s="139">
        <v>6</v>
      </c>
      <c r="C10" s="139">
        <f t="shared" si="8"/>
        <v>0.72580129883572175</v>
      </c>
      <c r="D10" s="139"/>
      <c r="E10" s="142">
        <f>-'Q3 ProjectA Data'!$D$8</f>
        <v>-100000</v>
      </c>
      <c r="F10" s="142">
        <f>F9*(1+'Q3 ProjectA Data'!$F$10)</f>
        <v>102015.05006249994</v>
      </c>
      <c r="G10" s="142">
        <f>G9*(1+'Q3 ProjectA Data'!$F$11)</f>
        <v>355276.29374999984</v>
      </c>
      <c r="H10" s="142">
        <f t="shared" si="0"/>
        <v>357291.34381249978</v>
      </c>
      <c r="I10" s="142">
        <f t="shared" si="4"/>
        <v>0</v>
      </c>
      <c r="J10" s="142">
        <f t="shared" si="1"/>
        <v>-72580.129883572168</v>
      </c>
      <c r="K10" s="142">
        <f t="shared" si="1"/>
        <v>74042.65583615363</v>
      </c>
      <c r="L10" s="142">
        <f t="shared" si="1"/>
        <v>257859.99544929131</v>
      </c>
      <c r="M10" s="142">
        <f t="shared" si="5"/>
        <v>259322.52140187277</v>
      </c>
      <c r="N10" s="142"/>
      <c r="O10" s="142">
        <f>'Q3 ProjectB Data'!$D$8*(1+'Q3 ProjectB Data'!$F$9)^B9</f>
        <v>281540.60481599998</v>
      </c>
      <c r="P10" s="139"/>
      <c r="Q10" s="142">
        <f>-'Q3 ProjectB Data'!$D$16</f>
        <v>-100000</v>
      </c>
      <c r="R10" s="142">
        <f t="shared" si="2"/>
        <v>181540.60481599998</v>
      </c>
      <c r="S10" s="142">
        <f t="shared" si="6"/>
        <v>204342.53665044744</v>
      </c>
      <c r="T10" s="142">
        <f t="shared" si="3"/>
        <v>0</v>
      </c>
      <c r="U10" s="142">
        <f t="shared" si="3"/>
        <v>-72580.129883572168</v>
      </c>
      <c r="V10" s="142">
        <f t="shared" si="7"/>
        <v>131762.40676687527</v>
      </c>
      <c r="W10" s="139"/>
      <c r="X10" s="156">
        <v>1</v>
      </c>
      <c r="Y10" s="157" t="s">
        <v>213</v>
      </c>
    </row>
    <row r="11" spans="2:25" x14ac:dyDescent="0.25">
      <c r="B11" s="139">
        <v>7</v>
      </c>
      <c r="C11" s="139">
        <f t="shared" si="8"/>
        <v>0.684718206448794</v>
      </c>
      <c r="D11" s="139"/>
      <c r="E11" s="142">
        <f>-'Q3 ProjectA Data'!$D$8</f>
        <v>-100000</v>
      </c>
      <c r="F11" s="142">
        <f>F10*(1+'Q3 ProjectA Data'!$F$10)</f>
        <v>102525.12531281242</v>
      </c>
      <c r="G11" s="142">
        <f>G10*(1+'Q3 ProjectA Data'!$F$11)</f>
        <v>357052.67521874979</v>
      </c>
      <c r="H11" s="142">
        <f t="shared" si="0"/>
        <v>359577.80053156218</v>
      </c>
      <c r="I11" s="142">
        <f t="shared" si="4"/>
        <v>0</v>
      </c>
      <c r="J11" s="142">
        <f t="shared" si="1"/>
        <v>-68471.820644879394</v>
      </c>
      <c r="K11" s="142">
        <f t="shared" si="1"/>
        <v>70200.819920126771</v>
      </c>
      <c r="L11" s="142">
        <f t="shared" si="1"/>
        <v>244480.46738352612</v>
      </c>
      <c r="M11" s="142">
        <f t="shared" si="5"/>
        <v>246209.46665877348</v>
      </c>
      <c r="N11" s="142"/>
      <c r="O11" s="142">
        <f>'Q3 ProjectB Data'!$D$8*(1+'Q3 ProjectB Data'!$F$9)^B10</f>
        <v>287171.41691232001</v>
      </c>
      <c r="P11" s="139"/>
      <c r="Q11" s="142">
        <f>-'Q3 ProjectB Data'!$D$16</f>
        <v>-100000</v>
      </c>
      <c r="R11" s="142">
        <f t="shared" si="2"/>
        <v>187171.41691232001</v>
      </c>
      <c r="S11" s="142">
        <f t="shared" si="6"/>
        <v>196631.49753156264</v>
      </c>
      <c r="T11" s="142">
        <f t="shared" si="3"/>
        <v>0</v>
      </c>
      <c r="U11" s="142">
        <f t="shared" si="3"/>
        <v>-68471.820644879394</v>
      </c>
      <c r="V11" s="142">
        <f t="shared" si="7"/>
        <v>128159.67688668324</v>
      </c>
      <c r="W11" s="139"/>
      <c r="X11" s="156">
        <v>1</v>
      </c>
      <c r="Y11" s="157" t="s">
        <v>214</v>
      </c>
    </row>
    <row r="12" spans="2:25" x14ac:dyDescent="0.25">
      <c r="B12" s="139">
        <v>8</v>
      </c>
      <c r="C12" s="139">
        <f t="shared" si="8"/>
        <v>0.64596057212150371</v>
      </c>
      <c r="D12" s="139"/>
      <c r="E12" s="142">
        <f>-'Q3 ProjectA Data'!$D$8</f>
        <v>-100000</v>
      </c>
      <c r="F12" s="142">
        <f>F11*(1+'Q3 ProjectA Data'!$F$10)</f>
        <v>103037.75093937648</v>
      </c>
      <c r="G12" s="142">
        <f>G11*(1+'Q3 ProjectA Data'!$F$11)</f>
        <v>358837.93859484349</v>
      </c>
      <c r="H12" s="142">
        <f t="shared" si="0"/>
        <v>361875.68953421997</v>
      </c>
      <c r="I12" s="142">
        <f t="shared" si="4"/>
        <v>0</v>
      </c>
      <c r="J12" s="142">
        <f t="shared" si="1"/>
        <v>-64596.057212150372</v>
      </c>
      <c r="K12" s="142">
        <f t="shared" si="1"/>
        <v>66558.324546912641</v>
      </c>
      <c r="L12" s="142">
        <f t="shared" si="1"/>
        <v>231795.16011362613</v>
      </c>
      <c r="M12" s="142">
        <f t="shared" si="5"/>
        <v>233757.42744838839</v>
      </c>
      <c r="N12" s="142"/>
      <c r="O12" s="142">
        <f>'Q3 ProjectB Data'!$D$8*(1+'Q3 ProjectB Data'!$F$9)^B11</f>
        <v>292914.84525056637</v>
      </c>
      <c r="P12" s="139"/>
      <c r="Q12" s="142">
        <f>-'Q3 ProjectB Data'!$D$16</f>
        <v>-100000</v>
      </c>
      <c r="R12" s="142">
        <f t="shared" si="2"/>
        <v>192914.84525056637</v>
      </c>
      <c r="S12" s="142">
        <f t="shared" si="6"/>
        <v>189211.44102093758</v>
      </c>
      <c r="T12" s="142">
        <f t="shared" si="3"/>
        <v>0</v>
      </c>
      <c r="U12" s="142">
        <f t="shared" si="3"/>
        <v>-64596.057212150372</v>
      </c>
      <c r="V12" s="142">
        <f t="shared" si="7"/>
        <v>124615.38380878721</v>
      </c>
      <c r="W12" s="139"/>
      <c r="X12" s="156">
        <v>2</v>
      </c>
      <c r="Y12" s="157" t="s">
        <v>215</v>
      </c>
    </row>
    <row r="13" spans="2:25" x14ac:dyDescent="0.25">
      <c r="B13" s="139">
        <v>9</v>
      </c>
      <c r="C13" s="139">
        <f t="shared" si="8"/>
        <v>0.60939676615236205</v>
      </c>
      <c r="D13" s="139"/>
      <c r="E13" s="142">
        <f>-'Q3 ProjectA Data'!$D$8</f>
        <v>-100000</v>
      </c>
      <c r="F13" s="142">
        <f>F12*(1+'Q3 ProjectA Data'!$F$10)</f>
        <v>103552.93969407334</v>
      </c>
      <c r="G13" s="142">
        <f>G12*(1+'Q3 ProjectA Data'!$F$11)</f>
        <v>360632.1282878177</v>
      </c>
      <c r="H13" s="142">
        <f t="shared" si="0"/>
        <v>364185.06798189104</v>
      </c>
      <c r="I13" s="142">
        <f t="shared" si="4"/>
        <v>0</v>
      </c>
      <c r="J13" s="142">
        <f t="shared" si="1"/>
        <v>-60939.676615236203</v>
      </c>
      <c r="K13" s="142">
        <f t="shared" si="1"/>
        <v>63104.826575138861</v>
      </c>
      <c r="L13" s="142">
        <f t="shared" si="1"/>
        <v>219768.05274923987</v>
      </c>
      <c r="M13" s="142">
        <f t="shared" si="5"/>
        <v>221933.20270914253</v>
      </c>
      <c r="N13" s="142"/>
      <c r="O13" s="142">
        <f>'Q3 ProjectB Data'!$D$8*(1+'Q3 ProjectB Data'!$F$9)^B12</f>
        <v>298773.14215557772</v>
      </c>
      <c r="P13" s="139"/>
      <c r="Q13" s="142">
        <f>-'Q3 ProjectB Data'!$D$16</f>
        <v>-100000</v>
      </c>
      <c r="R13" s="142">
        <f t="shared" si="2"/>
        <v>198773.14215557772</v>
      </c>
      <c r="S13" s="142">
        <f t="shared" si="6"/>
        <v>182071.38664278903</v>
      </c>
      <c r="T13" s="142">
        <f t="shared" si="3"/>
        <v>0</v>
      </c>
      <c r="U13" s="142">
        <f t="shared" si="3"/>
        <v>-60939.676615236203</v>
      </c>
      <c r="V13" s="142">
        <f t="shared" si="7"/>
        <v>121131.71002755282</v>
      </c>
      <c r="W13" s="139"/>
      <c r="X13" s="156">
        <v>2</v>
      </c>
      <c r="Y13" s="157" t="s">
        <v>216</v>
      </c>
    </row>
    <row r="14" spans="2:25" x14ac:dyDescent="0.25">
      <c r="B14" s="139">
        <v>10</v>
      </c>
      <c r="C14" s="139">
        <f t="shared" si="8"/>
        <v>0.57490260957770001</v>
      </c>
      <c r="D14" s="139"/>
      <c r="E14" s="142">
        <f>-'Q3 ProjectA Data'!$D$8</f>
        <v>-100000</v>
      </c>
      <c r="F14" s="142">
        <f>F13*(1+'Q3 ProjectA Data'!$F$10)</f>
        <v>104070.7043925437</v>
      </c>
      <c r="G14" s="142">
        <f>G13*(1+'Q3 ProjectA Data'!$F$11)</f>
        <v>362435.28892925673</v>
      </c>
      <c r="H14" s="142">
        <f t="shared" si="0"/>
        <v>366505.99332180043</v>
      </c>
      <c r="I14" s="142">
        <f t="shared" si="4"/>
        <v>0</v>
      </c>
      <c r="J14" s="142">
        <f t="shared" si="1"/>
        <v>-57490.260957769999</v>
      </c>
      <c r="K14" s="142">
        <f t="shared" si="1"/>
        <v>59830.519535862783</v>
      </c>
      <c r="L14" s="142">
        <f t="shared" si="1"/>
        <v>208364.99340847737</v>
      </c>
      <c r="M14" s="142">
        <f t="shared" si="5"/>
        <v>210705.25198657016</v>
      </c>
      <c r="N14" s="142"/>
      <c r="O14" s="142">
        <f>'Q3 ProjectB Data'!$D$8*(1+'Q3 ProjectB Data'!$F$9)^B13</f>
        <v>304748.60499868926</v>
      </c>
      <c r="P14" s="139"/>
      <c r="Q14" s="142">
        <f>-'Q3 ProjectB Data'!$D$16</f>
        <v>-100000</v>
      </c>
      <c r="R14" s="142">
        <f t="shared" si="2"/>
        <v>204748.60499868926</v>
      </c>
      <c r="S14" s="142">
        <f t="shared" si="6"/>
        <v>175200.76827891017</v>
      </c>
      <c r="T14" s="142">
        <f t="shared" si="3"/>
        <v>0</v>
      </c>
      <c r="U14" s="142">
        <f t="shared" si="3"/>
        <v>-57490.260957769999</v>
      </c>
      <c r="V14" s="142">
        <f t="shared" si="7"/>
        <v>117710.50732114018</v>
      </c>
      <c r="W14" s="139"/>
      <c r="X14" s="156">
        <v>2</v>
      </c>
      <c r="Y14" s="157" t="s">
        <v>217</v>
      </c>
    </row>
    <row r="15" spans="2:25" x14ac:dyDescent="0.25">
      <c r="B15" s="139">
        <v>11</v>
      </c>
      <c r="C15" s="139">
        <f t="shared" si="8"/>
        <v>0.5423609524317925</v>
      </c>
      <c r="D15" s="139"/>
      <c r="E15" s="139"/>
      <c r="F15" s="139"/>
      <c r="G15" s="139"/>
      <c r="H15" s="139"/>
      <c r="I15" s="139"/>
      <c r="J15" s="139"/>
      <c r="K15" s="139"/>
      <c r="L15" s="139"/>
      <c r="M15" s="142"/>
      <c r="N15" s="139"/>
      <c r="O15" s="142">
        <f>'Q3 ProjectB Data'!$D$8*(1+'Q3 ProjectB Data'!$F$9)^B14</f>
        <v>310843.57709866308</v>
      </c>
      <c r="P15" s="139"/>
      <c r="Q15" s="142">
        <f>-'Q3 ProjectB Data'!$D$16</f>
        <v>-100000</v>
      </c>
      <c r="R15" s="142">
        <f t="shared" si="2"/>
        <v>210843.57709866308</v>
      </c>
      <c r="S15" s="142">
        <f t="shared" si="6"/>
        <v>168589.41853253622</v>
      </c>
      <c r="T15" s="142">
        <f t="shared" si="3"/>
        <v>0</v>
      </c>
      <c r="U15" s="142">
        <f t="shared" si="3"/>
        <v>-54236.095243179247</v>
      </c>
      <c r="V15" s="142">
        <f t="shared" si="7"/>
        <v>114353.32328935698</v>
      </c>
      <c r="W15" s="139"/>
      <c r="X15" s="156">
        <v>1</v>
      </c>
      <c r="Y15" s="157" t="s">
        <v>218</v>
      </c>
    </row>
    <row r="16" spans="2:25" x14ac:dyDescent="0.25">
      <c r="B16" s="139">
        <v>12</v>
      </c>
      <c r="C16" s="139">
        <f t="shared" si="8"/>
        <v>0.51166127587904942</v>
      </c>
      <c r="D16" s="139"/>
      <c r="E16" s="139"/>
      <c r="F16" s="139"/>
      <c r="G16" s="139"/>
      <c r="H16" s="139"/>
      <c r="I16" s="139"/>
      <c r="J16" s="139"/>
      <c r="K16" s="139"/>
      <c r="L16" s="139"/>
      <c r="M16" s="142"/>
      <c r="N16" s="139"/>
      <c r="O16" s="142">
        <f>'Q3 ProjectB Data'!$D$8*(1+'Q3 ProjectB Data'!$F$9)^B15</f>
        <v>317060.44864063628</v>
      </c>
      <c r="P16" s="139"/>
      <c r="Q16" s="142">
        <f>-'Q3 ProjectB Data'!$D$16</f>
        <v>-100000</v>
      </c>
      <c r="R16" s="142">
        <f t="shared" si="2"/>
        <v>217060.44864063628</v>
      </c>
      <c r="S16" s="142">
        <f t="shared" si="6"/>
        <v>162227.55368225178</v>
      </c>
      <c r="T16" s="142">
        <f t="shared" si="3"/>
        <v>0</v>
      </c>
      <c r="U16" s="142">
        <f t="shared" si="3"/>
        <v>-51166.127587904943</v>
      </c>
      <c r="V16" s="142">
        <f t="shared" si="7"/>
        <v>111061.42609434683</v>
      </c>
      <c r="W16" s="139"/>
      <c r="X16" s="156">
        <v>1</v>
      </c>
      <c r="Y16" s="157" t="s">
        <v>219</v>
      </c>
    </row>
    <row r="17" spans="2:25" x14ac:dyDescent="0.25">
      <c r="B17" s="139">
        <v>13</v>
      </c>
      <c r="C17" s="139">
        <f t="shared" si="8"/>
        <v>0.48269931686702772</v>
      </c>
      <c r="D17" s="139"/>
      <c r="E17" s="139"/>
      <c r="F17" s="139"/>
      <c r="G17" s="139"/>
      <c r="H17" s="139"/>
      <c r="I17" s="139"/>
      <c r="J17" s="139"/>
      <c r="K17" s="139"/>
      <c r="L17" s="139"/>
      <c r="M17" s="142"/>
      <c r="N17" s="139"/>
      <c r="O17" s="142">
        <f>'Q3 ProjectB Data'!$D$8*(1+'Q3 ProjectB Data'!$F$9)^B16</f>
        <v>323401.65761344903</v>
      </c>
      <c r="P17" s="139"/>
      <c r="Q17" s="142">
        <f>-'Q3 ProjectB Data'!$D$16</f>
        <v>-100000</v>
      </c>
      <c r="R17" s="142">
        <f t="shared" si="2"/>
        <v>223401.65761344903</v>
      </c>
      <c r="S17" s="142">
        <f t="shared" si="6"/>
        <v>156105.75920367625</v>
      </c>
      <c r="T17" s="142">
        <f t="shared" si="3"/>
        <v>0</v>
      </c>
      <c r="U17" s="142">
        <f t="shared" si="3"/>
        <v>-48269.931686702774</v>
      </c>
      <c r="V17" s="142">
        <f t="shared" si="7"/>
        <v>107835.82751697348</v>
      </c>
      <c r="W17" s="139"/>
      <c r="X17" s="156"/>
      <c r="Y17" s="157"/>
    </row>
    <row r="18" spans="2:25" x14ac:dyDescent="0.25">
      <c r="B18" s="139">
        <v>14</v>
      </c>
      <c r="C18" s="139">
        <f t="shared" si="8"/>
        <v>0.45537671402549784</v>
      </c>
      <c r="D18" s="139"/>
      <c r="E18" s="139"/>
      <c r="F18" s="139"/>
      <c r="G18" s="139"/>
      <c r="H18" s="139"/>
      <c r="I18" s="139"/>
      <c r="J18" s="139"/>
      <c r="K18" s="139"/>
      <c r="L18" s="139"/>
      <c r="M18" s="142"/>
      <c r="N18" s="139"/>
      <c r="O18" s="142">
        <f>'Q3 ProjectB Data'!$D$8*(1+'Q3 ProjectB Data'!$F$9)^B17</f>
        <v>329869.690765718</v>
      </c>
      <c r="P18" s="139"/>
      <c r="Q18" s="142">
        <f>-'Q3 ProjectB Data'!$D$16</f>
        <v>-100000</v>
      </c>
      <c r="R18" s="142">
        <f t="shared" si="2"/>
        <v>229869.690765718</v>
      </c>
      <c r="S18" s="142">
        <f t="shared" si="6"/>
        <v>150214.97583749978</v>
      </c>
      <c r="T18" s="142">
        <f t="shared" si="3"/>
        <v>0</v>
      </c>
      <c r="U18" s="142">
        <f t="shared" si="3"/>
        <v>-45537.671402549786</v>
      </c>
      <c r="V18" s="142">
        <f t="shared" si="7"/>
        <v>104677.30443495</v>
      </c>
      <c r="W18" s="139"/>
      <c r="X18" s="156"/>
      <c r="Y18" s="157"/>
    </row>
    <row r="19" spans="2:25" x14ac:dyDescent="0.25">
      <c r="B19" s="139">
        <v>15</v>
      </c>
      <c r="C19" s="139">
        <f t="shared" si="8"/>
        <v>0.42960067360896026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42"/>
      <c r="N19" s="139"/>
      <c r="O19" s="142">
        <f>'Q3 ProjectB Data'!$D$8*(1+'Q3 ProjectB Data'!$F$9)^B18</f>
        <v>336467.0845810324</v>
      </c>
      <c r="P19" s="139"/>
      <c r="Q19" s="142">
        <f>-'Q3 ProjectB Data'!$D$16</f>
        <v>-100000</v>
      </c>
      <c r="R19" s="142">
        <f t="shared" si="2"/>
        <v>236467.0845810324</v>
      </c>
      <c r="S19" s="142">
        <f t="shared" si="6"/>
        <v>144546.48618325451</v>
      </c>
      <c r="T19" s="142">
        <f t="shared" si="3"/>
        <v>0</v>
      </c>
      <c r="U19" s="142">
        <f t="shared" si="3"/>
        <v>-42960.067360896028</v>
      </c>
      <c r="V19" s="142">
        <f t="shared" si="7"/>
        <v>101586.41882235848</v>
      </c>
      <c r="W19" s="139"/>
      <c r="X19" s="154">
        <f>SUM(X5:X18)</f>
        <v>16</v>
      </c>
      <c r="Y19" s="154" t="s">
        <v>220</v>
      </c>
    </row>
    <row r="20" spans="2:25" x14ac:dyDescent="0.25"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</row>
    <row r="21" spans="2:25" x14ac:dyDescent="0.25"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 t="s">
        <v>118</v>
      </c>
      <c r="M21" s="418">
        <f>SUM(M5:M14)</f>
        <v>578790.48434104049</v>
      </c>
      <c r="N21" s="139"/>
      <c r="O21" s="139"/>
      <c r="P21" s="139"/>
      <c r="Q21" s="139"/>
      <c r="R21" s="139"/>
      <c r="S21" s="139"/>
      <c r="T21" s="139"/>
      <c r="U21" s="139" t="s">
        <v>118</v>
      </c>
      <c r="V21" s="418">
        <f>SUM(V5:V19)</f>
        <v>544914.07530910172</v>
      </c>
      <c r="W21" s="139"/>
    </row>
    <row r="22" spans="2:25" x14ac:dyDescent="0.25"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</row>
    <row r="23" spans="2:25" x14ac:dyDescent="0.25"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</row>
  </sheetData>
  <printOptions gridLines="1"/>
  <pageMargins left="0.7" right="0.7" top="0.75" bottom="0.75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H2"/>
  <sheetViews>
    <sheetView workbookViewId="0"/>
  </sheetViews>
  <sheetFormatPr defaultRowHeight="15" x14ac:dyDescent="0.25"/>
  <sheetData>
    <row r="2" spans="2:8" x14ac:dyDescent="0.25">
      <c r="B2" t="s">
        <v>91</v>
      </c>
      <c r="C2" t="s">
        <v>221</v>
      </c>
      <c r="H2" s="158" t="s">
        <v>47</v>
      </c>
    </row>
  </sheetData>
  <printOptions gridLines="1"/>
  <pageMargins left="0.7" right="0.7" top="0.75" bottom="0.75" header="0.5" footer="0.5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H13"/>
  <sheetViews>
    <sheetView workbookViewId="0"/>
  </sheetViews>
  <sheetFormatPr defaultRowHeight="15" x14ac:dyDescent="0.25"/>
  <cols>
    <col min="3" max="3" width="24" customWidth="1"/>
  </cols>
  <sheetData>
    <row r="2" spans="2:8" x14ac:dyDescent="0.25">
      <c r="B2" t="s">
        <v>92</v>
      </c>
      <c r="C2" t="s">
        <v>222</v>
      </c>
      <c r="H2" s="158" t="s">
        <v>47</v>
      </c>
    </row>
    <row r="3" spans="2:8" x14ac:dyDescent="0.25">
      <c r="H3" s="158"/>
    </row>
    <row r="4" spans="2:8" x14ac:dyDescent="0.25">
      <c r="C4" t="s">
        <v>223</v>
      </c>
      <c r="H4" s="158" t="s">
        <v>47</v>
      </c>
    </row>
    <row r="5" spans="2:8" x14ac:dyDescent="0.25">
      <c r="H5" s="158"/>
    </row>
    <row r="6" spans="2:8" x14ac:dyDescent="0.25">
      <c r="C6" t="s">
        <v>224</v>
      </c>
      <c r="H6" s="158" t="s">
        <v>34</v>
      </c>
    </row>
    <row r="7" spans="2:8" x14ac:dyDescent="0.25">
      <c r="C7" t="s">
        <v>225</v>
      </c>
      <c r="H7" s="158" t="s">
        <v>34</v>
      </c>
    </row>
    <row r="8" spans="2:8" x14ac:dyDescent="0.25">
      <c r="H8" s="158"/>
    </row>
    <row r="9" spans="2:8" x14ac:dyDescent="0.25">
      <c r="C9" t="s">
        <v>226</v>
      </c>
      <c r="H9" s="158" t="s">
        <v>47</v>
      </c>
    </row>
    <row r="10" spans="2:8" x14ac:dyDescent="0.25">
      <c r="H10" s="158"/>
    </row>
    <row r="11" spans="2:8" x14ac:dyDescent="0.25">
      <c r="C11" s="159" t="s">
        <v>227</v>
      </c>
      <c r="H11" s="158"/>
    </row>
    <row r="12" spans="2:8" x14ac:dyDescent="0.25">
      <c r="H12" s="160"/>
    </row>
    <row r="13" spans="2:8" x14ac:dyDescent="0.25">
      <c r="H13" s="158" t="s">
        <v>228</v>
      </c>
    </row>
  </sheetData>
  <printOptions gridLines="1"/>
  <pageMargins left="0.7" right="0.7" top="0.75" bottom="0.75" header="0.5" footer="0.5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6"/>
  <sheetViews>
    <sheetView workbookViewId="0"/>
  </sheetViews>
  <sheetFormatPr defaultRowHeight="15" x14ac:dyDescent="0.25"/>
  <cols>
    <col min="3" max="4" width="11.5703125" bestFit="1" customWidth="1"/>
  </cols>
  <sheetData>
    <row r="1" spans="1:4" x14ac:dyDescent="0.25">
      <c r="A1" t="s">
        <v>89</v>
      </c>
      <c r="B1" t="s">
        <v>229</v>
      </c>
      <c r="C1" t="s">
        <v>230</v>
      </c>
      <c r="D1" t="s">
        <v>136</v>
      </c>
    </row>
    <row r="2" spans="1:4" x14ac:dyDescent="0.25">
      <c r="B2" t="s">
        <v>80</v>
      </c>
      <c r="C2" s="87">
        <f>'Q3 (i)'!M21</f>
        <v>578790.48434104049</v>
      </c>
      <c r="D2" s="87">
        <f>'Q3 (i)'!V21</f>
        <v>544914.07530910172</v>
      </c>
    </row>
    <row r="4" spans="1:4" x14ac:dyDescent="0.25">
      <c r="A4" t="s">
        <v>91</v>
      </c>
      <c r="B4" t="str">
        <f>'Q3 (ii)'!C2</f>
        <v>Project A as this offers a higher NPV than Project B</v>
      </c>
    </row>
    <row r="6" spans="1:4" x14ac:dyDescent="0.25">
      <c r="A6" t="s">
        <v>92</v>
      </c>
      <c r="B6" t="s">
        <v>231</v>
      </c>
    </row>
  </sheetData>
  <printOptions gridLines="1"/>
  <pageMargins left="0.7" right="0.7" top="0.75" bottom="0.75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3"/>
  <sheetViews>
    <sheetView workbookViewId="0"/>
  </sheetViews>
  <sheetFormatPr defaultRowHeight="15" x14ac:dyDescent="0.25"/>
  <cols>
    <col min="1" max="1" width="9.140625" style="25"/>
    <col min="2" max="2" width="20.28515625" style="25" customWidth="1"/>
    <col min="3" max="3" width="23.5703125" style="25" customWidth="1"/>
    <col min="4" max="4" width="32.85546875" style="25" customWidth="1"/>
    <col min="5" max="5" width="29.42578125" style="25" customWidth="1"/>
    <col min="6" max="6" width="30.85546875" style="25" customWidth="1"/>
    <col min="7" max="7" width="32.28515625" style="25" customWidth="1"/>
    <col min="8" max="8" width="17.7109375" style="30" customWidth="1"/>
    <col min="9" max="9" width="16.85546875" style="30" customWidth="1"/>
    <col min="10" max="10" width="15" style="30" customWidth="1"/>
    <col min="12" max="12" width="14.85546875" customWidth="1"/>
    <col min="13" max="13" width="15.28515625" customWidth="1"/>
  </cols>
  <sheetData>
    <row r="1" spans="1:17" x14ac:dyDescent="0.25">
      <c r="B1" s="374"/>
      <c r="C1" s="374"/>
      <c r="D1" s="31" t="s">
        <v>34</v>
      </c>
      <c r="E1" s="31" t="s">
        <v>34</v>
      </c>
      <c r="F1" s="31" t="s">
        <v>34</v>
      </c>
      <c r="G1" s="31" t="s">
        <v>34</v>
      </c>
      <c r="H1" s="373" t="s">
        <v>35</v>
      </c>
      <c r="I1" s="373"/>
      <c r="J1" s="373"/>
    </row>
    <row r="2" spans="1:17" s="25" customFormat="1" ht="20.25" customHeight="1" x14ac:dyDescent="0.25">
      <c r="A2" s="32" t="s">
        <v>36</v>
      </c>
      <c r="B2" s="33" t="s">
        <v>37</v>
      </c>
      <c r="C2" s="33" t="s">
        <v>38</v>
      </c>
      <c r="D2" s="33" t="s">
        <v>39</v>
      </c>
      <c r="E2" s="33" t="s">
        <v>40</v>
      </c>
      <c r="F2" s="33" t="s">
        <v>41</v>
      </c>
      <c r="G2" s="33" t="s">
        <v>42</v>
      </c>
      <c r="H2" s="34" t="s">
        <v>43</v>
      </c>
      <c r="I2" s="35" t="s">
        <v>44</v>
      </c>
      <c r="J2" s="36" t="s">
        <v>45</v>
      </c>
      <c r="K2" s="37"/>
      <c r="L2" s="38" t="s">
        <v>46</v>
      </c>
      <c r="M2" s="163">
        <f>1-H24/H18</f>
        <v>0.2319635235407056</v>
      </c>
      <c r="N2" s="31" t="s">
        <v>47</v>
      </c>
      <c r="P2" s="25">
        <f>SUM(I18:J23)/H18</f>
        <v>0.23196352354070557</v>
      </c>
      <c r="Q2" t="s">
        <v>48</v>
      </c>
    </row>
    <row r="3" spans="1:17" x14ac:dyDescent="0.25">
      <c r="A3" s="39">
        <v>50</v>
      </c>
      <c r="B3" s="40">
        <v>2.3550699999999999E-3</v>
      </c>
      <c r="C3" s="41">
        <v>2.5905799999999999E-3</v>
      </c>
      <c r="D3" s="42">
        <f t="shared" ref="D3:D34" si="0">-LN(1-B3)</f>
        <v>2.3578475390753535E-3</v>
      </c>
      <c r="E3" s="42">
        <f t="shared" ref="E3:E34" si="1">-LN(1-C3)</f>
        <v>2.5939413588692293E-3</v>
      </c>
      <c r="F3" s="42">
        <f t="shared" ref="F3:F34" si="2">D3/(D3+E3)*(1-EXP(-(D3+E3)))</f>
        <v>2.3520193813457452E-3</v>
      </c>
      <c r="G3" s="43">
        <f t="shared" ref="G3:G34" si="3">E3/(D3+E3)*(1-EXP(-(D3+E3)))</f>
        <v>2.5875296214136461E-3</v>
      </c>
      <c r="H3" s="44">
        <v>100000</v>
      </c>
      <c r="I3" s="30">
        <f t="shared" ref="I3:I34" si="4">F3*H3</f>
        <v>235.20193813457453</v>
      </c>
      <c r="J3" s="45">
        <f t="shared" ref="J3:J34" si="5">G3*H3</f>
        <v>258.75296214136461</v>
      </c>
      <c r="M3" s="46"/>
    </row>
    <row r="4" spans="1:17" x14ac:dyDescent="0.25">
      <c r="A4" s="39">
        <f t="shared" ref="A4:A35" si="6">A3+1</f>
        <v>51</v>
      </c>
      <c r="B4" s="47">
        <v>2.6869200000000002E-3</v>
      </c>
      <c r="C4" s="48">
        <v>2.95561E-3</v>
      </c>
      <c r="D4" s="25">
        <f t="shared" si="0"/>
        <v>2.6905362487097328E-3</v>
      </c>
      <c r="E4" s="25">
        <f t="shared" si="1"/>
        <v>2.9599864407313377E-3</v>
      </c>
      <c r="F4" s="25">
        <f t="shared" si="2"/>
        <v>2.682949077869882E-3</v>
      </c>
      <c r="G4" s="49">
        <f t="shared" si="3"/>
        <v>2.9516394345089755E-3</v>
      </c>
      <c r="H4" s="50">
        <f t="shared" ref="H4:H35" si="7">H3-I3-J3</f>
        <v>99506.045099724055</v>
      </c>
      <c r="I4" s="30">
        <f t="shared" si="4"/>
        <v>266.96965194278357</v>
      </c>
      <c r="J4" s="45">
        <f t="shared" si="5"/>
        <v>293.70596668837413</v>
      </c>
    </row>
    <row r="5" spans="1:17" x14ac:dyDescent="0.25">
      <c r="A5" s="39">
        <f t="shared" si="6"/>
        <v>52</v>
      </c>
      <c r="B5" s="47">
        <v>3.06508E-3</v>
      </c>
      <c r="C5" s="48">
        <v>3.3715899999999998E-3</v>
      </c>
      <c r="D5" s="25">
        <f t="shared" si="0"/>
        <v>3.0697869783407657E-3</v>
      </c>
      <c r="E5" s="25">
        <f t="shared" si="1"/>
        <v>3.3772866176074289E-3</v>
      </c>
      <c r="F5" s="25">
        <f t="shared" si="2"/>
        <v>3.0599126386481744E-3</v>
      </c>
      <c r="G5" s="49">
        <f t="shared" si="3"/>
        <v>3.3664231682746923E-3</v>
      </c>
      <c r="H5" s="50">
        <f t="shared" si="7"/>
        <v>98945.369481092901</v>
      </c>
      <c r="I5" s="30">
        <f t="shared" si="4"/>
        <v>302.76418661090952</v>
      </c>
      <c r="J5" s="45">
        <f t="shared" si="5"/>
        <v>333.09198421465078</v>
      </c>
    </row>
    <row r="6" spans="1:17" x14ac:dyDescent="0.25">
      <c r="A6" s="39">
        <f t="shared" si="6"/>
        <v>53</v>
      </c>
      <c r="B6" s="47">
        <v>3.4917500000000001E-3</v>
      </c>
      <c r="C6" s="48">
        <v>3.8409199999999998E-3</v>
      </c>
      <c r="D6" s="25">
        <f t="shared" si="0"/>
        <v>3.4978603871407333E-3</v>
      </c>
      <c r="E6" s="25">
        <f t="shared" si="1"/>
        <v>3.8483152757384453E-3</v>
      </c>
      <c r="F6" s="25">
        <f t="shared" si="2"/>
        <v>3.4850438421171158E-3</v>
      </c>
      <c r="G6" s="49">
        <f t="shared" si="3"/>
        <v>3.8342146254729571E-3</v>
      </c>
      <c r="H6" s="50">
        <f t="shared" si="7"/>
        <v>98309.513310267343</v>
      </c>
      <c r="I6" s="30">
        <f t="shared" si="4"/>
        <v>342.61296398347781</v>
      </c>
      <c r="J6" s="45">
        <f t="shared" si="5"/>
        <v>376.9397737573554</v>
      </c>
    </row>
    <row r="7" spans="1:17" x14ac:dyDescent="0.25">
      <c r="A7" s="39">
        <f t="shared" si="6"/>
        <v>54</v>
      </c>
      <c r="B7" s="47">
        <v>3.9735400000000002E-3</v>
      </c>
      <c r="C7" s="48">
        <v>4.3708899999999997E-3</v>
      </c>
      <c r="D7" s="25">
        <f t="shared" si="0"/>
        <v>3.9814554853556004E-3</v>
      </c>
      <c r="E7" s="25">
        <f t="shared" si="1"/>
        <v>4.3804702660808614E-3</v>
      </c>
      <c r="F7" s="25">
        <f t="shared" si="2"/>
        <v>3.9648554693708059E-3</v>
      </c>
      <c r="G7" s="49">
        <f t="shared" si="3"/>
        <v>4.3622066243786447E-3</v>
      </c>
      <c r="H7" s="50">
        <f t="shared" si="7"/>
        <v>97589.960572526499</v>
      </c>
      <c r="I7" s="30">
        <f t="shared" si="4"/>
        <v>386.93008893166297</v>
      </c>
      <c r="J7" s="45">
        <f t="shared" si="5"/>
        <v>425.70757248232587</v>
      </c>
    </row>
    <row r="8" spans="1:17" x14ac:dyDescent="0.25">
      <c r="A8" s="39">
        <f t="shared" si="6"/>
        <v>55</v>
      </c>
      <c r="B8" s="47">
        <v>4.5170699999999998E-3</v>
      </c>
      <c r="C8" s="48">
        <v>4.9687799999999999E-3</v>
      </c>
      <c r="D8" s="25">
        <f t="shared" si="0"/>
        <v>4.5273027871303847E-3</v>
      </c>
      <c r="E8" s="25">
        <f t="shared" si="1"/>
        <v>4.9811654313663186E-3</v>
      </c>
      <c r="F8" s="25">
        <f t="shared" si="2"/>
        <v>4.505846987576524E-3</v>
      </c>
      <c r="G8" s="49">
        <f t="shared" si="3"/>
        <v>4.9575586853488384E-3</v>
      </c>
      <c r="H8" s="50">
        <f t="shared" si="7"/>
        <v>96777.322911112511</v>
      </c>
      <c r="I8" s="30">
        <f t="shared" si="4"/>
        <v>436.06380890475685</v>
      </c>
      <c r="J8" s="45">
        <f t="shared" si="5"/>
        <v>479.77925774279498</v>
      </c>
    </row>
    <row r="9" spans="1:17" x14ac:dyDescent="0.25">
      <c r="A9" s="39">
        <f t="shared" si="6"/>
        <v>56</v>
      </c>
      <c r="B9" s="47">
        <v>5.1300599999999997E-3</v>
      </c>
      <c r="C9" s="48">
        <v>5.64307E-3</v>
      </c>
      <c r="D9" s="25">
        <f t="shared" si="0"/>
        <v>5.1432639351464658E-3</v>
      </c>
      <c r="E9" s="25">
        <f t="shared" si="1"/>
        <v>5.6590522739328351E-3</v>
      </c>
      <c r="F9" s="25">
        <f t="shared" si="2"/>
        <v>5.1155841118504311E-3</v>
      </c>
      <c r="G9" s="49">
        <f t="shared" si="3"/>
        <v>5.6285966004654331E-3</v>
      </c>
      <c r="H9" s="50">
        <f t="shared" si="7"/>
        <v>95861.479844464964</v>
      </c>
      <c r="I9" s="30">
        <f t="shared" si="4"/>
        <v>490.38746323081529</v>
      </c>
      <c r="J9" s="45">
        <f t="shared" si="5"/>
        <v>539.56559956814112</v>
      </c>
    </row>
    <row r="10" spans="1:17" x14ac:dyDescent="0.25">
      <c r="A10" s="39">
        <f t="shared" si="6"/>
        <v>57</v>
      </c>
      <c r="B10" s="47">
        <v>5.8191199999999997E-3</v>
      </c>
      <c r="C10" s="48">
        <v>6.4010400000000002E-3</v>
      </c>
      <c r="D10" s="25">
        <f t="shared" si="0"/>
        <v>5.8361170494423764E-3</v>
      </c>
      <c r="E10" s="25">
        <f t="shared" si="1"/>
        <v>6.4216145023432781E-3</v>
      </c>
      <c r="F10" s="25">
        <f t="shared" si="2"/>
        <v>5.8004939726552371E-3</v>
      </c>
      <c r="G10" s="49">
        <f t="shared" si="3"/>
        <v>6.3824176074598485E-3</v>
      </c>
      <c r="H10" s="50">
        <f t="shared" si="7"/>
        <v>94831.526781666005</v>
      </c>
      <c r="I10" s="30">
        <f t="shared" si="4"/>
        <v>550.0696995147473</v>
      </c>
      <c r="J10" s="45">
        <f t="shared" si="5"/>
        <v>605.25440627360524</v>
      </c>
    </row>
    <row r="11" spans="1:17" x14ac:dyDescent="0.25">
      <c r="A11" s="39">
        <f t="shared" si="6"/>
        <v>58</v>
      </c>
      <c r="B11" s="47">
        <v>6.5930800000000003E-3</v>
      </c>
      <c r="C11" s="48">
        <v>7.2523900000000001E-3</v>
      </c>
      <c r="D11" s="25">
        <f t="shared" si="0"/>
        <v>6.6149103577113526E-3</v>
      </c>
      <c r="E11" s="25">
        <f t="shared" si="1"/>
        <v>7.2788164277159291E-3</v>
      </c>
      <c r="F11" s="25">
        <f t="shared" si="2"/>
        <v>6.5691695608521066E-3</v>
      </c>
      <c r="G11" s="49">
        <f t="shared" si="3"/>
        <v>7.2284848516866677E-3</v>
      </c>
      <c r="H11" s="50">
        <f t="shared" si="7"/>
        <v>93676.202675877648</v>
      </c>
      <c r="I11" s="30">
        <f t="shared" si="4"/>
        <v>615.37485919458811</v>
      </c>
      <c r="J11" s="45">
        <f t="shared" si="5"/>
        <v>677.13701200611172</v>
      </c>
    </row>
    <row r="12" spans="1:17" x14ac:dyDescent="0.25">
      <c r="A12" s="39">
        <f t="shared" si="6"/>
        <v>59</v>
      </c>
      <c r="B12" s="47">
        <v>7.4618499999999999E-3</v>
      </c>
      <c r="C12" s="48">
        <v>8.2080399999999998E-3</v>
      </c>
      <c r="D12" s="25">
        <f t="shared" si="0"/>
        <v>7.4898288723699424E-3</v>
      </c>
      <c r="E12" s="25">
        <f t="shared" si="1"/>
        <v>8.2419114330404084E-3</v>
      </c>
      <c r="F12" s="25">
        <f t="shared" si="2"/>
        <v>7.4312225797939554E-3</v>
      </c>
      <c r="G12" s="49">
        <f t="shared" si="3"/>
        <v>8.1774202569319613E-3</v>
      </c>
      <c r="H12" s="50">
        <f t="shared" si="7"/>
        <v>92383.690804676939</v>
      </c>
      <c r="I12" s="30">
        <f t="shared" si="4"/>
        <v>686.52376911241845</v>
      </c>
      <c r="J12" s="45">
        <f t="shared" si="5"/>
        <v>755.46026459630411</v>
      </c>
    </row>
    <row r="13" spans="1:17" x14ac:dyDescent="0.25">
      <c r="A13" s="39">
        <f t="shared" si="6"/>
        <v>60</v>
      </c>
      <c r="B13" s="47">
        <v>8.4342600000000007E-3</v>
      </c>
      <c r="C13" s="48">
        <v>9.27768E-3</v>
      </c>
      <c r="D13" s="25">
        <f t="shared" si="0"/>
        <v>8.4700296398379591E-3</v>
      </c>
      <c r="E13" s="25">
        <f t="shared" si="1"/>
        <v>9.3209857323597912E-3</v>
      </c>
      <c r="F13" s="25">
        <f t="shared" si="2"/>
        <v>8.39512926838752E-3</v>
      </c>
      <c r="G13" s="49">
        <f t="shared" si="3"/>
        <v>9.2385603662956256E-3</v>
      </c>
      <c r="H13" s="50">
        <f t="shared" si="7"/>
        <v>90941.706770968216</v>
      </c>
      <c r="I13" s="30">
        <f t="shared" si="4"/>
        <v>763.46738423007082</v>
      </c>
      <c r="J13" s="45">
        <f t="shared" si="5"/>
        <v>840.17044781754555</v>
      </c>
    </row>
    <row r="14" spans="1:17" x14ac:dyDescent="0.25">
      <c r="A14" s="39">
        <f t="shared" si="6"/>
        <v>61</v>
      </c>
      <c r="B14" s="47">
        <v>9.5224200000000002E-3</v>
      </c>
      <c r="C14" s="48">
        <v>1.047466E-2</v>
      </c>
      <c r="D14" s="25">
        <f t="shared" si="0"/>
        <v>9.5680481325193956E-3</v>
      </c>
      <c r="E14" s="25">
        <f t="shared" si="1"/>
        <v>1.052990537403822E-2</v>
      </c>
      <c r="F14" s="25">
        <f t="shared" si="2"/>
        <v>9.4725399491220504E-3</v>
      </c>
      <c r="G14" s="49">
        <f t="shared" si="3"/>
        <v>1.0424795939000761E-2</v>
      </c>
      <c r="H14" s="50">
        <f t="shared" si="7"/>
        <v>89338.068938920595</v>
      </c>
      <c r="I14" s="30">
        <f t="shared" si="4"/>
        <v>846.25842700134513</v>
      </c>
      <c r="J14" s="45">
        <f t="shared" si="5"/>
        <v>931.33113827262946</v>
      </c>
    </row>
    <row r="15" spans="1:17" x14ac:dyDescent="0.25">
      <c r="A15" s="39">
        <f t="shared" si="6"/>
        <v>62</v>
      </c>
      <c r="B15" s="47">
        <v>1.073848E-2</v>
      </c>
      <c r="C15" s="48">
        <v>1.1812329999999999E-2</v>
      </c>
      <c r="D15" s="25">
        <f t="shared" si="0"/>
        <v>1.0796553598661246E-2</v>
      </c>
      <c r="E15" s="25">
        <f t="shared" si="1"/>
        <v>1.1882649879658438E-2</v>
      </c>
      <c r="F15" s="25">
        <f t="shared" si="2"/>
        <v>1.0675045284696899E-2</v>
      </c>
      <c r="G15" s="49">
        <f t="shared" si="3"/>
        <v>1.1748918245844758E-2</v>
      </c>
      <c r="H15" s="50">
        <f t="shared" si="7"/>
        <v>87560.479373646624</v>
      </c>
      <c r="I15" s="30">
        <f t="shared" si="4"/>
        <v>934.71208246344645</v>
      </c>
      <c r="J15" s="45">
        <f t="shared" si="5"/>
        <v>1028.7409137279503</v>
      </c>
    </row>
    <row r="16" spans="1:17" x14ac:dyDescent="0.25">
      <c r="A16" s="39">
        <f t="shared" si="6"/>
        <v>63</v>
      </c>
      <c r="B16" s="47">
        <v>1.209676E-2</v>
      </c>
      <c r="C16" s="48">
        <v>1.3306439999999999E-2</v>
      </c>
      <c r="D16" s="25">
        <f t="shared" si="0"/>
        <v>1.2170521252908394E-2</v>
      </c>
      <c r="E16" s="25">
        <f t="shared" si="1"/>
        <v>1.3395763946842606E-2</v>
      </c>
      <c r="F16" s="25">
        <f t="shared" si="2"/>
        <v>1.2016261159442678E-2</v>
      </c>
      <c r="G16" s="49">
        <f t="shared" si="3"/>
        <v>1.3225974029423021E-2</v>
      </c>
      <c r="H16" s="50">
        <f t="shared" si="7"/>
        <v>85597.02637745523</v>
      </c>
      <c r="I16" s="30">
        <f t="shared" si="4"/>
        <v>1028.5562234232057</v>
      </c>
      <c r="J16" s="45">
        <f t="shared" si="5"/>
        <v>1132.1040478640602</v>
      </c>
    </row>
    <row r="17" spans="1:10" x14ac:dyDescent="0.25">
      <c r="A17" s="39">
        <f t="shared" si="6"/>
        <v>64</v>
      </c>
      <c r="B17" s="47">
        <v>1.3609390000000001E-2</v>
      </c>
      <c r="C17" s="48">
        <v>1.497033E-2</v>
      </c>
      <c r="D17" s="25">
        <f t="shared" si="0"/>
        <v>1.3702846642033152E-2</v>
      </c>
      <c r="E17" s="25">
        <f t="shared" si="1"/>
        <v>1.5083516436290169E-2</v>
      </c>
      <c r="F17" s="25">
        <f t="shared" si="2"/>
        <v>1.3507498029329294E-2</v>
      </c>
      <c r="G17" s="49">
        <f t="shared" si="3"/>
        <v>1.4868484911272099E-2</v>
      </c>
      <c r="H17" s="50">
        <f t="shared" si="7"/>
        <v>83436.36610616796</v>
      </c>
      <c r="I17" s="30">
        <f t="shared" si="4"/>
        <v>1127.0165507534612</v>
      </c>
      <c r="J17" s="45">
        <f t="shared" si="5"/>
        <v>1240.572350500933</v>
      </c>
    </row>
    <row r="18" spans="1:10" x14ac:dyDescent="0.25">
      <c r="A18" s="39">
        <f t="shared" si="6"/>
        <v>65</v>
      </c>
      <c r="B18" s="47">
        <v>1.529291E-2</v>
      </c>
      <c r="C18" s="48">
        <v>1.6822199999999999E-2</v>
      </c>
      <c r="D18" s="25">
        <f t="shared" si="0"/>
        <v>1.5411052591815666E-2</v>
      </c>
      <c r="E18" s="25">
        <f t="shared" si="1"/>
        <v>1.6965300318019856E-2</v>
      </c>
      <c r="F18" s="25">
        <f t="shared" si="2"/>
        <v>1.5164246484459279E-2</v>
      </c>
      <c r="G18" s="49">
        <f t="shared" si="3"/>
        <v>1.6693603124938689E-2</v>
      </c>
      <c r="H18" s="50">
        <f t="shared" si="7"/>
        <v>81068.777204913567</v>
      </c>
      <c r="I18" s="30">
        <f t="shared" si="4"/>
        <v>1229.3469197290231</v>
      </c>
      <c r="J18" s="45">
        <f t="shared" si="5"/>
        <v>1353.3299924829034</v>
      </c>
    </row>
    <row r="19" spans="1:10" x14ac:dyDescent="0.25">
      <c r="A19" s="39">
        <f t="shared" si="6"/>
        <v>66</v>
      </c>
      <c r="B19" s="47">
        <v>1.7163850000000001E-2</v>
      </c>
      <c r="C19" s="48">
        <v>1.888024E-2</v>
      </c>
      <c r="D19" s="25">
        <f t="shared" si="0"/>
        <v>1.7312856349795836E-2</v>
      </c>
      <c r="E19" s="25">
        <f t="shared" si="1"/>
        <v>1.9060747357167653E-2</v>
      </c>
      <c r="F19" s="25">
        <f t="shared" si="2"/>
        <v>1.7001773995411439E-2</v>
      </c>
      <c r="G19" s="49">
        <f t="shared" si="3"/>
        <v>1.8718258397264521E-2</v>
      </c>
      <c r="H19" s="50">
        <f t="shared" si="7"/>
        <v>78486.100292701638</v>
      </c>
      <c r="I19" s="30">
        <f t="shared" si="4"/>
        <v>1334.4029389577088</v>
      </c>
      <c r="J19" s="45">
        <f t="shared" si="5"/>
        <v>1469.1231058724079</v>
      </c>
    </row>
    <row r="20" spans="1:10" x14ac:dyDescent="0.25">
      <c r="A20" s="39">
        <f t="shared" si="6"/>
        <v>67</v>
      </c>
      <c r="B20" s="47">
        <v>1.9240960000000001E-2</v>
      </c>
      <c r="C20" s="48">
        <v>2.1165059999999999E-2</v>
      </c>
      <c r="D20" s="25">
        <f t="shared" si="0"/>
        <v>1.9428476499319388E-2</v>
      </c>
      <c r="E20" s="25">
        <f t="shared" si="1"/>
        <v>2.1392251279177991E-2</v>
      </c>
      <c r="F20" s="25">
        <f t="shared" si="2"/>
        <v>1.9037275321171256E-2</v>
      </c>
      <c r="G20" s="49">
        <f t="shared" si="3"/>
        <v>2.0961508605971037E-2</v>
      </c>
      <c r="H20" s="50">
        <f t="shared" si="7"/>
        <v>75682.574247871526</v>
      </c>
      <c r="I20" s="30">
        <f t="shared" si="4"/>
        <v>1440.7900029717157</v>
      </c>
      <c r="J20" s="45">
        <f t="shared" si="5"/>
        <v>1586.420931418801</v>
      </c>
    </row>
    <row r="21" spans="1:10" x14ac:dyDescent="0.25">
      <c r="A21" s="39">
        <f t="shared" si="6"/>
        <v>68</v>
      </c>
      <c r="B21" s="47">
        <v>2.154408E-2</v>
      </c>
      <c r="C21" s="48">
        <v>2.3698489999999999E-2</v>
      </c>
      <c r="D21" s="25">
        <f t="shared" si="0"/>
        <v>2.1779541704411536E-2</v>
      </c>
      <c r="E21" s="25">
        <f t="shared" si="1"/>
        <v>2.3983816095966282E-2</v>
      </c>
      <c r="F21" s="25">
        <f t="shared" si="2"/>
        <v>2.128870513449552E-2</v>
      </c>
      <c r="G21" s="49">
        <f t="shared" si="3"/>
        <v>2.3443302701065229E-2</v>
      </c>
      <c r="H21" s="50">
        <f t="shared" si="7"/>
        <v>72655.363313481008</v>
      </c>
      <c r="I21" s="30">
        <f t="shared" si="4"/>
        <v>1546.7386060203405</v>
      </c>
      <c r="J21" s="45">
        <f t="shared" si="5"/>
        <v>1703.2816750138049</v>
      </c>
    </row>
    <row r="22" spans="1:10" x14ac:dyDescent="0.25">
      <c r="A22" s="39">
        <f t="shared" si="6"/>
        <v>69</v>
      </c>
      <c r="B22" s="47">
        <v>2.4094170000000002E-2</v>
      </c>
      <c r="C22" s="48">
        <v>2.6503579999999999E-2</v>
      </c>
      <c r="D22" s="25">
        <f t="shared" si="0"/>
        <v>2.4389182879822609E-2</v>
      </c>
      <c r="E22" s="25">
        <f t="shared" si="1"/>
        <v>2.6861131629135504E-2</v>
      </c>
      <c r="F22" s="25">
        <f t="shared" si="2"/>
        <v>2.377474757670596E-2</v>
      </c>
      <c r="G22" s="49">
        <f t="shared" si="3"/>
        <v>2.6184420661165421E-2</v>
      </c>
      <c r="H22" s="50">
        <f t="shared" si="7"/>
        <v>69405.343032446865</v>
      </c>
      <c r="I22" s="30">
        <f t="shared" si="4"/>
        <v>1650.094511071112</v>
      </c>
      <c r="J22" s="45">
        <f t="shared" si="5"/>
        <v>1817.3386980940752</v>
      </c>
    </row>
    <row r="23" spans="1:10" x14ac:dyDescent="0.25">
      <c r="A23" s="39">
        <f t="shared" si="6"/>
        <v>70</v>
      </c>
      <c r="B23" s="47">
        <v>2.6913260000000001E-2</v>
      </c>
      <c r="C23" s="48">
        <v>2.9604579999999998E-2</v>
      </c>
      <c r="D23" s="25">
        <f t="shared" si="0"/>
        <v>2.728205380134709E-2</v>
      </c>
      <c r="E23" s="25">
        <f t="shared" si="1"/>
        <v>3.0051641066649672E-2</v>
      </c>
      <c r="F23" s="25">
        <f t="shared" si="2"/>
        <v>2.6514698235299956E-2</v>
      </c>
      <c r="G23" s="49">
        <f t="shared" si="3"/>
        <v>2.9206386005969247E-2</v>
      </c>
      <c r="H23" s="50">
        <f t="shared" si="7"/>
        <v>65937.909823281676</v>
      </c>
      <c r="I23" s="30">
        <f t="shared" si="4"/>
        <v>1748.3237812307343</v>
      </c>
      <c r="J23" s="45">
        <f t="shared" si="5"/>
        <v>1925.8080467255561</v>
      </c>
    </row>
    <row r="24" spans="1:10" x14ac:dyDescent="0.25">
      <c r="A24" s="39">
        <f t="shared" si="6"/>
        <v>71</v>
      </c>
      <c r="B24" s="47">
        <v>3.0025619999999999E-2</v>
      </c>
      <c r="C24" s="48">
        <v>3.3028179999999997E-2</v>
      </c>
      <c r="D24" s="25">
        <f t="shared" si="0"/>
        <v>3.0485620204655357E-2</v>
      </c>
      <c r="E24" s="25">
        <f t="shared" si="1"/>
        <v>3.358592562875394E-2</v>
      </c>
      <c r="F24" s="25">
        <f t="shared" si="2"/>
        <v>2.9529518005566739E-2</v>
      </c>
      <c r="G24" s="49">
        <f t="shared" si="3"/>
        <v>3.2532590412461551E-2</v>
      </c>
      <c r="H24" s="50">
        <f t="shared" si="7"/>
        <v>62263.777995325385</v>
      </c>
      <c r="I24" s="30">
        <f t="shared" si="4"/>
        <v>1838.619353407571</v>
      </c>
      <c r="J24" s="45">
        <f t="shared" si="5"/>
        <v>2025.6019870543571</v>
      </c>
    </row>
    <row r="25" spans="1:10" x14ac:dyDescent="0.25">
      <c r="A25" s="39">
        <f t="shared" si="6"/>
        <v>72</v>
      </c>
      <c r="B25" s="47">
        <v>3.3456600000000003E-2</v>
      </c>
      <c r="C25" s="48">
        <v>3.6802250000000002E-2</v>
      </c>
      <c r="D25" s="25">
        <f t="shared" si="0"/>
        <v>3.4029077048075382E-2</v>
      </c>
      <c r="E25" s="25">
        <f t="shared" si="1"/>
        <v>3.7496540393764016E-2</v>
      </c>
      <c r="F25" s="25">
        <f t="shared" si="2"/>
        <v>3.2840605152204765E-2</v>
      </c>
      <c r="G25" s="49">
        <f t="shared" si="3"/>
        <v>3.6186966690445306E-2</v>
      </c>
      <c r="H25" s="50">
        <f t="shared" si="7"/>
        <v>58399.556654863452</v>
      </c>
      <c r="I25" s="30">
        <f t="shared" si="4"/>
        <v>1917.8767811661828</v>
      </c>
      <c r="J25" s="45">
        <f t="shared" si="5"/>
        <v>2113.3028114063172</v>
      </c>
    </row>
    <row r="26" spans="1:10" x14ac:dyDescent="0.25">
      <c r="A26" s="39">
        <f t="shared" si="6"/>
        <v>73</v>
      </c>
      <c r="B26" s="47">
        <v>3.7233759999999998E-2</v>
      </c>
      <c r="C26" s="48">
        <v>4.0957140000000003E-2</v>
      </c>
      <c r="D26" s="25">
        <f t="shared" si="0"/>
        <v>3.7944638083503547E-2</v>
      </c>
      <c r="E26" s="25">
        <f t="shared" si="1"/>
        <v>4.1819512709469722E-2</v>
      </c>
      <c r="F26" s="25">
        <f t="shared" si="2"/>
        <v>3.6470773437432616E-2</v>
      </c>
      <c r="G26" s="49">
        <f t="shared" si="3"/>
        <v>4.0195138241520913E-2</v>
      </c>
      <c r="H26" s="50">
        <f t="shared" si="7"/>
        <v>54368.377062290951</v>
      </c>
      <c r="I26" s="30">
        <f t="shared" si="4"/>
        <v>1982.8567619997216</v>
      </c>
      <c r="J26" s="45">
        <f t="shared" si="5"/>
        <v>2185.3444319859195</v>
      </c>
    </row>
    <row r="27" spans="1:10" x14ac:dyDescent="0.25">
      <c r="A27" s="39">
        <f t="shared" si="6"/>
        <v>74</v>
      </c>
      <c r="B27" s="47">
        <v>4.1386880000000001E-2</v>
      </c>
      <c r="C27" s="48">
        <v>4.5525570000000001E-2</v>
      </c>
      <c r="D27" s="25">
        <f t="shared" si="0"/>
        <v>4.2267705723937114E-2</v>
      </c>
      <c r="E27" s="25">
        <f t="shared" si="1"/>
        <v>4.659442506987288E-2</v>
      </c>
      <c r="F27" s="25">
        <f t="shared" si="2"/>
        <v>4.0444120040449644E-2</v>
      </c>
      <c r="G27" s="49">
        <f t="shared" si="3"/>
        <v>4.4584168657028821E-2</v>
      </c>
      <c r="H27" s="50">
        <f t="shared" si="7"/>
        <v>50200.175868305312</v>
      </c>
      <c r="I27" s="30">
        <f t="shared" si="4"/>
        <v>2030.3019388694236</v>
      </c>
      <c r="J27" s="45">
        <f t="shared" si="5"/>
        <v>2238.1331075250323</v>
      </c>
    </row>
    <row r="28" spans="1:10" x14ac:dyDescent="0.25">
      <c r="A28" s="39">
        <f t="shared" si="6"/>
        <v>75</v>
      </c>
      <c r="B28" s="47">
        <v>4.5945720000000002E-2</v>
      </c>
      <c r="C28" s="48">
        <v>5.0540290000000002E-2</v>
      </c>
      <c r="D28" s="25">
        <f t="shared" si="0"/>
        <v>4.7034711877805904E-2</v>
      </c>
      <c r="E28" s="25">
        <f t="shared" si="1"/>
        <v>5.1862182489495458E-2</v>
      </c>
      <c r="F28" s="25">
        <f t="shared" si="2"/>
        <v>4.4783730909963501E-2</v>
      </c>
      <c r="G28" s="49">
        <f t="shared" si="3"/>
        <v>4.9380169076977676E-2</v>
      </c>
      <c r="H28" s="50">
        <f t="shared" si="7"/>
        <v>45931.740821910855</v>
      </c>
      <c r="I28" s="30">
        <f t="shared" si="4"/>
        <v>2056.9947211946414</v>
      </c>
      <c r="J28" s="45">
        <f t="shared" si="5"/>
        <v>2268.1171277858757</v>
      </c>
    </row>
    <row r="29" spans="1:10" x14ac:dyDescent="0.25">
      <c r="A29" s="39">
        <f t="shared" si="6"/>
        <v>76</v>
      </c>
      <c r="B29" s="47">
        <v>5.0942250000000001E-2</v>
      </c>
      <c r="C29" s="48">
        <v>5.6036469999999998E-2</v>
      </c>
      <c r="D29" s="25">
        <f t="shared" si="0"/>
        <v>5.2285628693678483E-2</v>
      </c>
      <c r="E29" s="25">
        <f t="shared" si="1"/>
        <v>5.7667747057504541E-2</v>
      </c>
      <c r="F29" s="25">
        <f t="shared" si="2"/>
        <v>4.9513657870396514E-2</v>
      </c>
      <c r="G29" s="49">
        <f t="shared" si="3"/>
        <v>5.4610438265745971E-2</v>
      </c>
      <c r="H29" s="50">
        <f t="shared" si="7"/>
        <v>41606.628972930339</v>
      </c>
      <c r="I29" s="30">
        <f t="shared" si="4"/>
        <v>2060.0963921061998</v>
      </c>
      <c r="J29" s="45">
        <f t="shared" si="5"/>
        <v>2272.1562429720097</v>
      </c>
    </row>
    <row r="30" spans="1:10" x14ac:dyDescent="0.25">
      <c r="A30" s="39">
        <f t="shared" si="6"/>
        <v>77</v>
      </c>
      <c r="B30" s="47">
        <v>5.641065E-2</v>
      </c>
      <c r="C30" s="48">
        <v>6.2051710000000003E-2</v>
      </c>
      <c r="D30" s="25">
        <f t="shared" si="0"/>
        <v>5.80642180744134E-2</v>
      </c>
      <c r="E30" s="25">
        <f t="shared" si="1"/>
        <v>6.4060459427282362E-2</v>
      </c>
      <c r="F30" s="25">
        <f t="shared" si="2"/>
        <v>5.4658712478271421E-2</v>
      </c>
      <c r="G30" s="49">
        <f t="shared" si="3"/>
        <v>6.030327022701705E-2</v>
      </c>
      <c r="H30" s="50">
        <f t="shared" si="7"/>
        <v>37274.376337852133</v>
      </c>
      <c r="I30" s="30">
        <f t="shared" si="4"/>
        <v>2037.3694190575434</v>
      </c>
      <c r="J30" s="45">
        <f t="shared" si="5"/>
        <v>2247.7667888450273</v>
      </c>
    </row>
    <row r="31" spans="1:10" x14ac:dyDescent="0.25">
      <c r="A31" s="39">
        <f t="shared" si="6"/>
        <v>78</v>
      </c>
      <c r="B31" s="47">
        <v>6.238399E-2</v>
      </c>
      <c r="C31" s="48">
        <v>6.8622390000000005E-2</v>
      </c>
      <c r="D31" s="25">
        <f t="shared" si="0"/>
        <v>6.4414784793228444E-2</v>
      </c>
      <c r="E31" s="25">
        <f t="shared" si="1"/>
        <v>7.1090487803756999E-2</v>
      </c>
      <c r="F31" s="25">
        <f t="shared" si="2"/>
        <v>6.0241139596631216E-2</v>
      </c>
      <c r="G31" s="49">
        <f t="shared" si="3"/>
        <v>6.6484301911832772E-2</v>
      </c>
      <c r="H31" s="50">
        <f t="shared" si="7"/>
        <v>32989.240129949561</v>
      </c>
      <c r="I31" s="30">
        <f t="shared" si="4"/>
        <v>1987.30941985508</v>
      </c>
      <c r="J31" s="45">
        <f t="shared" si="5"/>
        <v>2193.2666006415161</v>
      </c>
    </row>
    <row r="32" spans="1:10" x14ac:dyDescent="0.25">
      <c r="A32" s="39">
        <f t="shared" si="6"/>
        <v>79</v>
      </c>
      <c r="B32" s="47">
        <v>6.8900870000000003E-2</v>
      </c>
      <c r="C32" s="48">
        <v>7.5790949999999996E-2</v>
      </c>
      <c r="D32" s="25">
        <f t="shared" si="0"/>
        <v>7.1389530466781342E-2</v>
      </c>
      <c r="E32" s="25">
        <f t="shared" si="1"/>
        <v>7.8816988341155719E-2</v>
      </c>
      <c r="F32" s="25">
        <f t="shared" si="2"/>
        <v>6.6286607191807081E-2</v>
      </c>
      <c r="G32" s="49">
        <f t="shared" si="3"/>
        <v>7.3183150415066442E-2</v>
      </c>
      <c r="H32" s="50">
        <f t="shared" si="7"/>
        <v>28808.664109452966</v>
      </c>
      <c r="I32" s="30">
        <f t="shared" si="4"/>
        <v>1909.6286015440196</v>
      </c>
      <c r="J32" s="45">
        <f t="shared" si="5"/>
        <v>2108.3087987792223</v>
      </c>
    </row>
    <row r="33" spans="1:10" x14ac:dyDescent="0.25">
      <c r="A33" s="39">
        <f t="shared" si="6"/>
        <v>80</v>
      </c>
      <c r="B33" s="47">
        <v>7.5996560000000005E-2</v>
      </c>
      <c r="C33" s="48">
        <v>8.3596210000000004E-2</v>
      </c>
      <c r="D33" s="25">
        <f t="shared" si="0"/>
        <v>7.9039484403660071E-2</v>
      </c>
      <c r="E33" s="25">
        <f t="shared" si="1"/>
        <v>8.7298192662767435E-2</v>
      </c>
      <c r="F33" s="25">
        <f t="shared" si="2"/>
        <v>7.2815676501250759E-2</v>
      </c>
      <c r="G33" s="49">
        <f t="shared" si="3"/>
        <v>8.0424069109711685E-2</v>
      </c>
      <c r="H33" s="50">
        <f t="shared" si="7"/>
        <v>24790.726709129725</v>
      </c>
      <c r="I33" s="30">
        <f t="shared" si="4"/>
        <v>1805.153536282907</v>
      </c>
      <c r="J33" s="45">
        <f t="shared" si="5"/>
        <v>1993.7711181350244</v>
      </c>
    </row>
    <row r="34" spans="1:10" x14ac:dyDescent="0.25">
      <c r="A34" s="39">
        <f t="shared" si="6"/>
        <v>81</v>
      </c>
      <c r="B34" s="47">
        <v>8.371075E-2</v>
      </c>
      <c r="C34" s="48">
        <v>9.2081830000000003E-2</v>
      </c>
      <c r="D34" s="25">
        <f t="shared" si="0"/>
        <v>8.7423189045303093E-2</v>
      </c>
      <c r="E34" s="25">
        <f t="shared" si="1"/>
        <v>9.6601025587372658E-2</v>
      </c>
      <c r="F34" s="25">
        <f t="shared" si="2"/>
        <v>7.9850736728855787E-2</v>
      </c>
      <c r="G34" s="49">
        <f t="shared" si="3"/>
        <v>8.8233604220471745E-2</v>
      </c>
      <c r="H34" s="50">
        <f t="shared" si="7"/>
        <v>20991.802054711796</v>
      </c>
      <c r="I34" s="30">
        <f t="shared" si="4"/>
        <v>1676.2108593350456</v>
      </c>
      <c r="J34" s="45">
        <f t="shared" si="5"/>
        <v>1852.1823543699261</v>
      </c>
    </row>
    <row r="35" spans="1:10" x14ac:dyDescent="0.25">
      <c r="A35" s="39">
        <f t="shared" si="6"/>
        <v>82</v>
      </c>
      <c r="B35" s="47">
        <v>9.2082029999999995E-2</v>
      </c>
      <c r="C35" s="48">
        <v>0.10129024</v>
      </c>
      <c r="D35" s="25">
        <f t="shared" ref="D35:D63" si="8">-LN(1-B35)</f>
        <v>9.6601245871566377E-2</v>
      </c>
      <c r="E35" s="25">
        <f t="shared" ref="E35:E63" si="9">-LN(1-C35)</f>
        <v>0.10679514424547931</v>
      </c>
      <c r="F35" s="25">
        <f t="shared" ref="F35:F63" si="10">D35/(D35+E35)*(1-EXP(-(D35+E35)))</f>
        <v>8.741060406139943E-2</v>
      </c>
      <c r="G35" s="49">
        <f t="shared" ref="G35:G63" si="11">E35/(D35+E35)*(1-EXP(-(D35+E35)))</f>
        <v>9.6634655020213414E-2</v>
      </c>
      <c r="H35" s="50">
        <f t="shared" si="7"/>
        <v>17463.408841006825</v>
      </c>
      <c r="I35" s="30">
        <f t="shared" ref="I35:I63" si="12">F35*H35</f>
        <v>1526.4871157635898</v>
      </c>
      <c r="J35" s="45">
        <f t="shared" ref="J35:J63" si="13">G35*H35</f>
        <v>1687.5704888276396</v>
      </c>
    </row>
    <row r="36" spans="1:10" x14ac:dyDescent="0.25">
      <c r="A36" s="39">
        <f t="shared" ref="A36:A63" si="14">A35+1</f>
        <v>83</v>
      </c>
      <c r="B36" s="47">
        <v>0.10114898999999999</v>
      </c>
      <c r="C36" s="48">
        <v>0.11126389</v>
      </c>
      <c r="D36" s="25">
        <f t="shared" si="8"/>
        <v>0.10663798683233583</v>
      </c>
      <c r="E36" s="25">
        <f t="shared" si="9"/>
        <v>0.11795492667879885</v>
      </c>
      <c r="F36" s="25">
        <f t="shared" si="10"/>
        <v>9.5511265801831099E-2</v>
      </c>
      <c r="G36" s="49">
        <f t="shared" si="11"/>
        <v>0.10564738410119778</v>
      </c>
      <c r="H36" s="50">
        <f t="shared" ref="H36:H63" si="15">H35-I35-J35</f>
        <v>14249.351236415596</v>
      </c>
      <c r="I36" s="30">
        <f t="shared" si="12"/>
        <v>1360.9735734449405</v>
      </c>
      <c r="J36" s="45">
        <f t="shared" si="13"/>
        <v>1505.406683266476</v>
      </c>
    </row>
    <row r="37" spans="1:10" x14ac:dyDescent="0.25">
      <c r="A37" s="39">
        <f t="shared" si="14"/>
        <v>84</v>
      </c>
      <c r="B37" s="47">
        <v>0.11095022</v>
      </c>
      <c r="C37" s="48">
        <v>0.12204524</v>
      </c>
      <c r="D37" s="25">
        <f t="shared" si="8"/>
        <v>0.11760204953535955</v>
      </c>
      <c r="E37" s="25">
        <f t="shared" si="9"/>
        <v>0.13016021287044027</v>
      </c>
      <c r="F37" s="25">
        <f t="shared" si="10"/>
        <v>0.10416558336518648</v>
      </c>
      <c r="G37" s="49">
        <f t="shared" si="11"/>
        <v>0.11528893040686079</v>
      </c>
      <c r="H37" s="50">
        <f t="shared" si="15"/>
        <v>11382.97097970418</v>
      </c>
      <c r="I37" s="30">
        <f t="shared" si="12"/>
        <v>1185.7138125298743</v>
      </c>
      <c r="J37" s="45">
        <f t="shared" si="13"/>
        <v>1312.3305491024312</v>
      </c>
    </row>
    <row r="38" spans="1:10" x14ac:dyDescent="0.25">
      <c r="A38" s="39">
        <f t="shared" si="14"/>
        <v>85</v>
      </c>
      <c r="B38" s="47">
        <v>0.1215265</v>
      </c>
      <c r="C38" s="48">
        <v>0.13367915</v>
      </c>
      <c r="D38" s="25">
        <f t="shared" si="8"/>
        <v>0.12956953686402897</v>
      </c>
      <c r="E38" s="25">
        <f t="shared" si="9"/>
        <v>0.14349994250079892</v>
      </c>
      <c r="F38" s="25">
        <f t="shared" si="10"/>
        <v>0.11338487319435751</v>
      </c>
      <c r="G38" s="49">
        <f t="shared" si="11"/>
        <v>0.12557521758316748</v>
      </c>
      <c r="H38" s="50">
        <f t="shared" si="15"/>
        <v>8884.9266180718751</v>
      </c>
      <c r="I38" s="30">
        <f t="shared" si="12"/>
        <v>1007.4162779312513</v>
      </c>
      <c r="J38" s="45">
        <f t="shared" si="13"/>
        <v>1115.7265932748521</v>
      </c>
    </row>
    <row r="39" spans="1:10" x14ac:dyDescent="0.25">
      <c r="A39" s="39">
        <f t="shared" si="14"/>
        <v>86</v>
      </c>
      <c r="B39" s="47">
        <v>0.13291422</v>
      </c>
      <c r="C39" s="48">
        <v>0.14620564</v>
      </c>
      <c r="D39" s="25">
        <f t="shared" si="8"/>
        <v>0.14261736822605681</v>
      </c>
      <c r="E39" s="25">
        <f t="shared" si="9"/>
        <v>0.15806491044256718</v>
      </c>
      <c r="F39" s="25">
        <f t="shared" si="10"/>
        <v>0.12317281882062835</v>
      </c>
      <c r="G39" s="49">
        <f t="shared" si="11"/>
        <v>0.13651423257917086</v>
      </c>
      <c r="H39" s="50">
        <f t="shared" si="15"/>
        <v>6761.7837468657717</v>
      </c>
      <c r="I39" s="30">
        <f t="shared" si="12"/>
        <v>832.86796435696715</v>
      </c>
      <c r="J39" s="45">
        <f t="shared" si="13"/>
        <v>923.07971906969135</v>
      </c>
    </row>
    <row r="40" spans="1:10" x14ac:dyDescent="0.25">
      <c r="A40" s="39">
        <f t="shared" si="14"/>
        <v>87</v>
      </c>
      <c r="B40" s="47">
        <v>0.14515086999999999</v>
      </c>
      <c r="C40" s="48">
        <v>0.15966596</v>
      </c>
      <c r="D40" s="25">
        <f t="shared" si="8"/>
        <v>0.15683028175594405</v>
      </c>
      <c r="E40" s="25">
        <f t="shared" si="9"/>
        <v>0.17395579952654405</v>
      </c>
      <c r="F40" s="25">
        <f t="shared" si="10"/>
        <v>0.13352999911968533</v>
      </c>
      <c r="G40" s="49">
        <f t="shared" si="11"/>
        <v>0.1481111778769294</v>
      </c>
      <c r="H40" s="50">
        <f t="shared" si="15"/>
        <v>5005.8360634391129</v>
      </c>
      <c r="I40" s="30">
        <f t="shared" si="12"/>
        <v>668.42928514431378</v>
      </c>
      <c r="J40" s="45">
        <f t="shared" si="13"/>
        <v>741.42027561477846</v>
      </c>
    </row>
    <row r="41" spans="1:10" x14ac:dyDescent="0.25">
      <c r="A41" s="39">
        <f t="shared" si="14"/>
        <v>88</v>
      </c>
      <c r="B41" s="47">
        <v>0.15827172</v>
      </c>
      <c r="C41" s="48">
        <v>0.17409889000000001</v>
      </c>
      <c r="D41" s="25">
        <f t="shared" si="8"/>
        <v>0.17229802465966967</v>
      </c>
      <c r="E41" s="25">
        <f t="shared" si="9"/>
        <v>0.19128023417799259</v>
      </c>
      <c r="F41" s="25">
        <f t="shared" si="10"/>
        <v>0.14445071491474126</v>
      </c>
      <c r="G41" s="49">
        <f t="shared" si="11"/>
        <v>0.16036496431486791</v>
      </c>
      <c r="H41" s="50">
        <f t="shared" si="15"/>
        <v>3595.9865026800203</v>
      </c>
      <c r="I41" s="30">
        <f t="shared" si="12"/>
        <v>519.44282113588906</v>
      </c>
      <c r="J41" s="45">
        <f t="shared" si="13"/>
        <v>576.67024717902814</v>
      </c>
    </row>
    <row r="42" spans="1:10" x14ac:dyDescent="0.25">
      <c r="A42" s="39">
        <f t="shared" si="14"/>
        <v>89</v>
      </c>
      <c r="B42" s="47">
        <v>0.17230765000000001</v>
      </c>
      <c r="C42" s="48">
        <v>0.18953842000000001</v>
      </c>
      <c r="D42" s="25">
        <f t="shared" si="8"/>
        <v>0.18911375161265809</v>
      </c>
      <c r="E42" s="25">
        <f t="shared" si="9"/>
        <v>0.21015134176771072</v>
      </c>
      <c r="F42" s="25">
        <f t="shared" si="10"/>
        <v>0.15592101088086591</v>
      </c>
      <c r="G42" s="49">
        <f t="shared" si="11"/>
        <v>0.17326613938422114</v>
      </c>
      <c r="H42" s="50">
        <f t="shared" si="15"/>
        <v>2499.8734343651031</v>
      </c>
      <c r="I42" s="30">
        <f t="shared" si="12"/>
        <v>389.78279296042888</v>
      </c>
      <c r="J42" s="45">
        <f t="shared" si="13"/>
        <v>433.14341892161553</v>
      </c>
    </row>
    <row r="43" spans="1:10" x14ac:dyDescent="0.25">
      <c r="A43" s="39">
        <f t="shared" si="14"/>
        <v>90</v>
      </c>
      <c r="B43" s="47">
        <v>0.18728732000000001</v>
      </c>
      <c r="C43" s="48">
        <v>0.20601605000000001</v>
      </c>
      <c r="D43" s="25">
        <f t="shared" si="8"/>
        <v>0.20737763903141607</v>
      </c>
      <c r="E43" s="25">
        <f t="shared" si="9"/>
        <v>0.23069203204510258</v>
      </c>
      <c r="F43" s="25">
        <f t="shared" si="10"/>
        <v>0.16792037915306277</v>
      </c>
      <c r="G43" s="49">
        <f t="shared" si="11"/>
        <v>0.18679879696545126</v>
      </c>
      <c r="H43" s="50">
        <f t="shared" si="15"/>
        <v>1676.9472224830583</v>
      </c>
      <c r="I43" s="30">
        <f t="shared" si="12"/>
        <v>281.59361341903065</v>
      </c>
      <c r="J43" s="45">
        <f t="shared" si="13"/>
        <v>313.25172373439023</v>
      </c>
    </row>
    <row r="44" spans="1:10" x14ac:dyDescent="0.25">
      <c r="A44" s="39">
        <f t="shared" si="14"/>
        <v>91</v>
      </c>
      <c r="B44" s="47">
        <v>0.20323719000000001</v>
      </c>
      <c r="C44" s="48">
        <v>0.22356090000000001</v>
      </c>
      <c r="D44" s="25">
        <f t="shared" si="8"/>
        <v>0.22719824799781002</v>
      </c>
      <c r="E44" s="25">
        <f t="shared" si="9"/>
        <v>0.25303706831649037</v>
      </c>
      <c r="F44" s="25">
        <f t="shared" si="10"/>
        <v>0.18042159947711886</v>
      </c>
      <c r="G44" s="49">
        <f t="shared" si="11"/>
        <v>0.20094060141301018</v>
      </c>
      <c r="H44" s="50">
        <f t="shared" si="15"/>
        <v>1082.1018853296375</v>
      </c>
      <c r="I44" s="30">
        <f t="shared" si="12"/>
        <v>195.23455294837908</v>
      </c>
      <c r="J44" s="45">
        <f t="shared" si="13"/>
        <v>217.43820362828953</v>
      </c>
    </row>
    <row r="45" spans="1:10" x14ac:dyDescent="0.25">
      <c r="A45" s="39">
        <f t="shared" si="14"/>
        <v>92</v>
      </c>
      <c r="B45" s="47">
        <v>0.22017709999999999</v>
      </c>
      <c r="C45" s="48">
        <v>0.24219481000000001</v>
      </c>
      <c r="D45" s="25">
        <f t="shared" si="8"/>
        <v>0.24868843636059559</v>
      </c>
      <c r="E45" s="25">
        <f t="shared" si="9"/>
        <v>0.27732893164832606</v>
      </c>
      <c r="F45" s="25">
        <f t="shared" si="10"/>
        <v>0.1933872451602196</v>
      </c>
      <c r="G45" s="49">
        <f t="shared" si="11"/>
        <v>0.21565891393892941</v>
      </c>
      <c r="H45" s="50">
        <f t="shared" si="15"/>
        <v>669.42912875296884</v>
      </c>
      <c r="I45" s="30">
        <f t="shared" si="12"/>
        <v>129.45905503954259</v>
      </c>
      <c r="J45" s="45">
        <f t="shared" si="13"/>
        <v>144.36835886594901</v>
      </c>
    </row>
    <row r="46" spans="1:10" x14ac:dyDescent="0.25">
      <c r="A46" s="39">
        <f t="shared" si="14"/>
        <v>93</v>
      </c>
      <c r="B46" s="47">
        <v>0.23812029000000001</v>
      </c>
      <c r="C46" s="48">
        <v>0.26193231</v>
      </c>
      <c r="D46" s="25">
        <f t="shared" si="8"/>
        <v>0.27196659664922135</v>
      </c>
      <c r="E46" s="25">
        <f t="shared" si="9"/>
        <v>0.30371973772055738</v>
      </c>
      <c r="F46" s="25">
        <f t="shared" si="10"/>
        <v>0.2067700063778645</v>
      </c>
      <c r="G46" s="49">
        <f t="shared" si="11"/>
        <v>0.23091119600456558</v>
      </c>
      <c r="H46" s="50">
        <f t="shared" si="15"/>
        <v>395.60171484747724</v>
      </c>
      <c r="I46" s="30">
        <f t="shared" si="12"/>
        <v>81.798569102106995</v>
      </c>
      <c r="J46" s="45">
        <f t="shared" si="13"/>
        <v>91.348865116888078</v>
      </c>
    </row>
    <row r="47" spans="1:10" x14ac:dyDescent="0.25">
      <c r="A47" s="39">
        <f t="shared" si="14"/>
        <v>94</v>
      </c>
      <c r="B47" s="47">
        <v>0.25707667000000001</v>
      </c>
      <c r="C47" s="48">
        <v>0.28278434000000002</v>
      </c>
      <c r="D47" s="25">
        <f t="shared" si="8"/>
        <v>0.29716242936000647</v>
      </c>
      <c r="E47" s="25">
        <f t="shared" si="9"/>
        <v>0.3323787025759849</v>
      </c>
      <c r="F47" s="25">
        <f t="shared" si="10"/>
        <v>0.22051540220311305</v>
      </c>
      <c r="G47" s="49">
        <f t="shared" si="11"/>
        <v>0.24664835134153917</v>
      </c>
      <c r="H47" s="50">
        <f t="shared" si="15"/>
        <v>222.45428062848214</v>
      </c>
      <c r="I47" s="30">
        <f t="shared" si="12"/>
        <v>49.05459516459392</v>
      </c>
      <c r="J47" s="45">
        <f t="shared" si="13"/>
        <v>54.867981565883213</v>
      </c>
    </row>
    <row r="48" spans="1:10" x14ac:dyDescent="0.25">
      <c r="A48" s="39">
        <f t="shared" si="14"/>
        <v>95</v>
      </c>
      <c r="B48" s="47">
        <v>0.27704736000000002</v>
      </c>
      <c r="C48" s="48">
        <v>0.30475208999999998</v>
      </c>
      <c r="D48" s="25">
        <f t="shared" si="8"/>
        <v>0.32441156380984876</v>
      </c>
      <c r="E48" s="25">
        <f t="shared" si="9"/>
        <v>0.36348679198549028</v>
      </c>
      <c r="F48" s="25">
        <f t="shared" si="10"/>
        <v>0.23455813276534698</v>
      </c>
      <c r="G48" s="49">
        <f t="shared" si="11"/>
        <v>0.26281055524567071</v>
      </c>
      <c r="H48" s="50">
        <f t="shared" si="15"/>
        <v>118.53170389800499</v>
      </c>
      <c r="I48" s="30">
        <f t="shared" si="12"/>
        <v>27.802575139811051</v>
      </c>
      <c r="J48" s="45">
        <f t="shared" si="13"/>
        <v>31.151382915650125</v>
      </c>
    </row>
    <row r="49" spans="1:10" x14ac:dyDescent="0.25">
      <c r="A49" s="39">
        <f t="shared" si="14"/>
        <v>96</v>
      </c>
      <c r="B49" s="47">
        <v>0.29802351999999999</v>
      </c>
      <c r="C49" s="48">
        <v>0.32782587000000002</v>
      </c>
      <c r="D49" s="25">
        <f t="shared" si="8"/>
        <v>0.35385537979111087</v>
      </c>
      <c r="E49" s="25">
        <f t="shared" si="9"/>
        <v>0.39723785000149131</v>
      </c>
      <c r="F49" s="25">
        <f t="shared" si="10"/>
        <v>0.24882206277903415</v>
      </c>
      <c r="G49" s="49">
        <f t="shared" si="11"/>
        <v>0.27932750749650348</v>
      </c>
      <c r="H49" s="50">
        <f t="shared" si="15"/>
        <v>59.577745842543813</v>
      </c>
      <c r="I49" s="30">
        <f t="shared" si="12"/>
        <v>14.824257616266777</v>
      </c>
      <c r="J49" s="45">
        <f t="shared" si="13"/>
        <v>16.641703248457937</v>
      </c>
    </row>
    <row r="50" spans="1:10" x14ac:dyDescent="0.25">
      <c r="A50" s="39">
        <f t="shared" si="14"/>
        <v>97</v>
      </c>
      <c r="B50" s="47">
        <v>0.31999083</v>
      </c>
      <c r="C50" s="48">
        <v>0.35198992000000001</v>
      </c>
      <c r="D50" s="25">
        <f t="shared" si="8"/>
        <v>0.38564899560879284</v>
      </c>
      <c r="E50" s="25">
        <f t="shared" si="9"/>
        <v>0.43384902719529328</v>
      </c>
      <c r="F50" s="25">
        <f t="shared" si="10"/>
        <v>0.26322417036403933</v>
      </c>
      <c r="G50" s="49">
        <f t="shared" si="11"/>
        <v>0.29612303298352699</v>
      </c>
      <c r="H50" s="50">
        <f t="shared" si="15"/>
        <v>28.111784977819099</v>
      </c>
      <c r="I50" s="30">
        <f t="shared" si="12"/>
        <v>7.3997012782386964</v>
      </c>
      <c r="J50" s="45">
        <f t="shared" si="13"/>
        <v>8.3245470302125444</v>
      </c>
    </row>
    <row r="51" spans="1:10" x14ac:dyDescent="0.25">
      <c r="A51" s="39">
        <f t="shared" si="14"/>
        <v>98</v>
      </c>
      <c r="B51" s="47">
        <v>0.34292393999999998</v>
      </c>
      <c r="C51" s="48">
        <v>0.37721632999999999</v>
      </c>
      <c r="D51" s="25">
        <f t="shared" si="8"/>
        <v>0.4199554985528412</v>
      </c>
      <c r="E51" s="25">
        <f t="shared" si="9"/>
        <v>0.47355605966149167</v>
      </c>
      <c r="F51" s="25">
        <f t="shared" si="10"/>
        <v>0.27767171687724063</v>
      </c>
      <c r="G51" s="49">
        <f t="shared" si="11"/>
        <v>0.31311204300681911</v>
      </c>
      <c r="H51" s="50">
        <f t="shared" si="15"/>
        <v>12.38753666936786</v>
      </c>
      <c r="I51" s="30">
        <f t="shared" si="12"/>
        <v>3.4396685748631488</v>
      </c>
      <c r="J51" s="45">
        <f t="shared" si="13"/>
        <v>3.8786869143676581</v>
      </c>
    </row>
    <row r="52" spans="1:10" x14ac:dyDescent="0.25">
      <c r="A52" s="39">
        <f t="shared" si="14"/>
        <v>99</v>
      </c>
      <c r="B52" s="47">
        <v>0.36678644999999999</v>
      </c>
      <c r="C52" s="48">
        <v>0.40346509000000003</v>
      </c>
      <c r="D52" s="25">
        <f t="shared" si="8"/>
        <v>0.45694755196229481</v>
      </c>
      <c r="E52" s="25">
        <f t="shared" si="9"/>
        <v>0.51661751442909387</v>
      </c>
      <c r="F52" s="25">
        <f t="shared" si="10"/>
        <v>0.29206361304566242</v>
      </c>
      <c r="G52" s="49">
        <f t="shared" si="11"/>
        <v>0.33020239889430708</v>
      </c>
      <c r="H52" s="50">
        <f t="shared" si="15"/>
        <v>5.0691811801370532</v>
      </c>
      <c r="I52" s="30">
        <f t="shared" si="12"/>
        <v>1.4805233706539027</v>
      </c>
      <c r="J52" s="45">
        <f t="shared" si="13"/>
        <v>1.6738557861111296</v>
      </c>
    </row>
    <row r="53" spans="1:10" x14ac:dyDescent="0.25">
      <c r="A53" s="39">
        <f t="shared" si="14"/>
        <v>100</v>
      </c>
      <c r="B53" s="47">
        <v>0.39153426000000002</v>
      </c>
      <c r="C53" s="48">
        <v>0.43068769000000001</v>
      </c>
      <c r="D53" s="25">
        <f t="shared" si="8"/>
        <v>0.49681467052250267</v>
      </c>
      <c r="E53" s="25">
        <f t="shared" si="9"/>
        <v>0.56332612021302986</v>
      </c>
      <c r="F53" s="25">
        <f t="shared" si="10"/>
        <v>0.30629382050524828</v>
      </c>
      <c r="G53" s="49">
        <f t="shared" si="11"/>
        <v>0.34729914349949237</v>
      </c>
      <c r="H53" s="50">
        <f t="shared" si="15"/>
        <v>1.9148020233720207</v>
      </c>
      <c r="I53" s="30">
        <f t="shared" si="12"/>
        <v>0.58649202724979588</v>
      </c>
      <c r="J53" s="45">
        <f t="shared" si="13"/>
        <v>0.6650091026881978</v>
      </c>
    </row>
    <row r="54" spans="1:10" x14ac:dyDescent="0.25">
      <c r="A54" s="39">
        <f t="shared" si="14"/>
        <v>101</v>
      </c>
      <c r="B54" s="47">
        <v>0.41710895999999997</v>
      </c>
      <c r="C54" s="48">
        <v>0.45881984999999997</v>
      </c>
      <c r="D54" s="25">
        <f t="shared" si="8"/>
        <v>0.53975500546754263</v>
      </c>
      <c r="E54" s="25">
        <f t="shared" si="9"/>
        <v>0.61400306111129055</v>
      </c>
      <c r="F54" s="25">
        <f t="shared" si="10"/>
        <v>0.32024893850526842</v>
      </c>
      <c r="G54" s="49">
        <f t="shared" si="11"/>
        <v>0.36430200103387556</v>
      </c>
      <c r="H54" s="50">
        <f t="shared" si="15"/>
        <v>0.66330089343402687</v>
      </c>
      <c r="I54" s="30">
        <f t="shared" si="12"/>
        <v>0.21242140703184328</v>
      </c>
      <c r="J54" s="45">
        <f t="shared" si="13"/>
        <v>0.24164184276557343</v>
      </c>
    </row>
    <row r="55" spans="1:10" x14ac:dyDescent="0.25">
      <c r="A55" s="39">
        <f t="shared" si="14"/>
        <v>102</v>
      </c>
      <c r="B55" s="47">
        <v>0.44344327</v>
      </c>
      <c r="C55" s="48">
        <v>0.48778759999999999</v>
      </c>
      <c r="D55" s="25">
        <f t="shared" si="8"/>
        <v>0.58598617276132892</v>
      </c>
      <c r="E55" s="25">
        <f t="shared" si="9"/>
        <v>0.66901589621650759</v>
      </c>
      <c r="F55" s="25">
        <f t="shared" si="10"/>
        <v>0.33381300596439556</v>
      </c>
      <c r="G55" s="49">
        <f t="shared" si="11"/>
        <v>0.38111173562615241</v>
      </c>
      <c r="H55" s="50">
        <f t="shared" si="15"/>
        <v>0.20923764363661013</v>
      </c>
      <c r="I55" s="30">
        <f t="shared" si="12"/>
        <v>6.9846246783243804E-2</v>
      </c>
      <c r="J55" s="45">
        <f t="shared" si="13"/>
        <v>7.9742921524674854E-2</v>
      </c>
    </row>
    <row r="56" spans="1:10" x14ac:dyDescent="0.25">
      <c r="A56" s="39">
        <f t="shared" si="14"/>
        <v>103</v>
      </c>
      <c r="B56" s="47">
        <v>0.47045672999999999</v>
      </c>
      <c r="C56" s="48">
        <v>0.51750240000000003</v>
      </c>
      <c r="D56" s="25">
        <f t="shared" si="8"/>
        <v>0.63574039867700383</v>
      </c>
      <c r="E56" s="25">
        <f t="shared" si="9"/>
        <v>0.7287793323087316</v>
      </c>
      <c r="F56" s="25">
        <f t="shared" si="10"/>
        <v>0.34686680006782017</v>
      </c>
      <c r="G56" s="49">
        <f t="shared" si="11"/>
        <v>0.39762984306102783</v>
      </c>
      <c r="H56" s="50">
        <f t="shared" si="15"/>
        <v>5.9648475328691469E-2</v>
      </c>
      <c r="I56" s="30">
        <f t="shared" si="12"/>
        <v>2.0690075766187529E-2</v>
      </c>
      <c r="J56" s="45">
        <f t="shared" si="13"/>
        <v>2.371801388377718E-2</v>
      </c>
    </row>
    <row r="57" spans="1:10" x14ac:dyDescent="0.25">
      <c r="A57" s="39">
        <f t="shared" si="14"/>
        <v>104</v>
      </c>
      <c r="B57" s="47">
        <v>0.49806001999999999</v>
      </c>
      <c r="C57" s="48">
        <v>0.54786601999999995</v>
      </c>
      <c r="D57" s="25">
        <f t="shared" si="8"/>
        <v>0.68927472819147217</v>
      </c>
      <c r="E57" s="25">
        <f t="shared" si="9"/>
        <v>0.79377672714322445</v>
      </c>
      <c r="F57" s="25">
        <f t="shared" si="10"/>
        <v>0.35929156675013935</v>
      </c>
      <c r="G57" s="49">
        <f t="shared" si="11"/>
        <v>0.41376431237134026</v>
      </c>
      <c r="H57" s="50">
        <f t="shared" si="15"/>
        <v>1.5240385678726757E-2</v>
      </c>
      <c r="I57" s="30">
        <f t="shared" si="12"/>
        <v>5.4757420483861228E-3</v>
      </c>
      <c r="J57" s="45">
        <f t="shared" si="13"/>
        <v>6.3059277006323987E-3</v>
      </c>
    </row>
    <row r="58" spans="1:10" x14ac:dyDescent="0.25">
      <c r="A58" s="39">
        <f t="shared" si="14"/>
        <v>105</v>
      </c>
      <c r="B58" s="47">
        <v>0.52615281999999997</v>
      </c>
      <c r="C58" s="48">
        <v>0.57876810000000001</v>
      </c>
      <c r="D58" s="25">
        <f t="shared" si="8"/>
        <v>0.74687041433403756</v>
      </c>
      <c r="E58" s="25">
        <f t="shared" si="9"/>
        <v>0.86457176559773941</v>
      </c>
      <c r="F58" s="25">
        <f t="shared" si="10"/>
        <v>0.37096920057518512</v>
      </c>
      <c r="G58" s="49">
        <f t="shared" si="11"/>
        <v>0.42943125148377281</v>
      </c>
      <c r="H58" s="50">
        <f t="shared" si="15"/>
        <v>3.4587159297082351E-3</v>
      </c>
      <c r="I58" s="30">
        <f t="shared" si="12"/>
        <v>1.2830770834605222E-3</v>
      </c>
      <c r="J58" s="45">
        <f t="shared" si="13"/>
        <v>1.4852807102214683E-3</v>
      </c>
    </row>
    <row r="59" spans="1:10" x14ac:dyDescent="0.25">
      <c r="A59" s="39">
        <f t="shared" si="14"/>
        <v>106</v>
      </c>
      <c r="B59" s="47">
        <v>0.55462378000000001</v>
      </c>
      <c r="C59" s="48">
        <v>0.61008616000000004</v>
      </c>
      <c r="D59" s="25">
        <f t="shared" si="8"/>
        <v>0.80883591579522418</v>
      </c>
      <c r="E59" s="25">
        <f t="shared" si="9"/>
        <v>0.94182948734246585</v>
      </c>
      <c r="F59" s="25">
        <f t="shared" si="10"/>
        <v>0.38178329352505375</v>
      </c>
      <c r="G59" s="49">
        <f t="shared" si="11"/>
        <v>0.44455835429006146</v>
      </c>
      <c r="H59" s="50">
        <f t="shared" si="15"/>
        <v>6.9035813602624481E-4</v>
      </c>
      <c r="I59" s="30">
        <f t="shared" si="12"/>
        <v>2.6356720288391679E-4</v>
      </c>
      <c r="J59" s="45">
        <f t="shared" si="13"/>
        <v>3.0690447682258179E-4</v>
      </c>
    </row>
    <row r="60" spans="1:10" x14ac:dyDescent="0.25">
      <c r="A60" s="39">
        <f t="shared" si="14"/>
        <v>107</v>
      </c>
      <c r="B60" s="47">
        <v>0.58335603000000003</v>
      </c>
      <c r="C60" s="48">
        <v>0.64169164000000001</v>
      </c>
      <c r="D60" s="25">
        <f t="shared" si="8"/>
        <v>0.87552321083755325</v>
      </c>
      <c r="E60" s="25">
        <f t="shared" si="9"/>
        <v>1.0263613225404109</v>
      </c>
      <c r="F60" s="25">
        <f t="shared" si="10"/>
        <v>0.391621546305912</v>
      </c>
      <c r="G60" s="49">
        <f t="shared" si="11"/>
        <v>0.45909143609949887</v>
      </c>
      <c r="H60" s="50">
        <f t="shared" si="15"/>
        <v>1.1988645631974624E-4</v>
      </c>
      <c r="I60" s="30">
        <f t="shared" si="12"/>
        <v>4.6950119405075199E-5</v>
      </c>
      <c r="J60" s="45">
        <f t="shared" si="13"/>
        <v>5.5038845400712146E-5</v>
      </c>
    </row>
    <row r="61" spans="1:10" x14ac:dyDescent="0.25">
      <c r="A61" s="39">
        <f t="shared" si="14"/>
        <v>108</v>
      </c>
      <c r="B61" s="47">
        <v>0.61222058999999995</v>
      </c>
      <c r="C61" s="48">
        <v>0.67344263999999998</v>
      </c>
      <c r="D61" s="25">
        <f t="shared" si="8"/>
        <v>0.94731863196168753</v>
      </c>
      <c r="E61" s="25">
        <f t="shared" si="9"/>
        <v>1.1191496642256957</v>
      </c>
      <c r="F61" s="25">
        <f t="shared" si="10"/>
        <v>0.4003727382143607</v>
      </c>
      <c r="G61" s="49">
        <f t="shared" si="11"/>
        <v>0.47299504139368148</v>
      </c>
      <c r="H61" s="50">
        <f t="shared" si="15"/>
        <v>1.7897491513958896E-5</v>
      </c>
      <c r="I61" s="30">
        <f t="shared" si="12"/>
        <v>7.1656676846120075E-6</v>
      </c>
      <c r="J61" s="45">
        <f t="shared" si="13"/>
        <v>8.4654247394880514E-6</v>
      </c>
    </row>
    <row r="62" spans="1:10" x14ac:dyDescent="0.25">
      <c r="A62" s="39">
        <f t="shared" si="14"/>
        <v>109</v>
      </c>
      <c r="B62" s="47">
        <v>0.64108734000000001</v>
      </c>
      <c r="C62" s="48">
        <v>0.70519608</v>
      </c>
      <c r="D62" s="25">
        <f t="shared" si="8"/>
        <v>1.0246762070009967</v>
      </c>
      <c r="E62" s="25">
        <f t="shared" si="9"/>
        <v>1.2214448216047513</v>
      </c>
      <c r="F62" s="25">
        <f t="shared" si="10"/>
        <v>0.40792832394890788</v>
      </c>
      <c r="G62" s="49">
        <f t="shared" si="11"/>
        <v>0.48626281694546492</v>
      </c>
      <c r="H62" s="50">
        <f t="shared" si="15"/>
        <v>2.2663990898588368E-6</v>
      </c>
      <c r="I62" s="30">
        <f t="shared" si="12"/>
        <v>9.2452838212544551E-7</v>
      </c>
      <c r="J62" s="45">
        <f t="shared" si="13"/>
        <v>1.1020656057573958E-6</v>
      </c>
    </row>
    <row r="63" spans="1:10" x14ac:dyDescent="0.25">
      <c r="A63" s="51">
        <f t="shared" si="14"/>
        <v>110</v>
      </c>
      <c r="B63" s="52">
        <v>0.66981959999999996</v>
      </c>
      <c r="C63" s="53">
        <v>0.73680155000000003</v>
      </c>
      <c r="D63" s="54">
        <f t="shared" si="8"/>
        <v>1.1081161072227328</v>
      </c>
      <c r="E63" s="54">
        <f t="shared" si="9"/>
        <v>1.3348469686060664</v>
      </c>
      <c r="F63" s="54">
        <f t="shared" si="10"/>
        <v>0.41417634878112392</v>
      </c>
      <c r="G63" s="55">
        <f t="shared" si="11"/>
        <v>0.49892068171849618</v>
      </c>
      <c r="H63" s="56">
        <f t="shared" si="15"/>
        <v>2.398051019759954E-7</v>
      </c>
      <c r="I63" s="57">
        <f t="shared" si="12"/>
        <v>9.9321601555502858E-8</v>
      </c>
      <c r="J63" s="58">
        <f t="shared" si="13"/>
        <v>1.1964372495743711E-7</v>
      </c>
    </row>
  </sheetData>
  <mergeCells count="2">
    <mergeCell ref="H1:J1"/>
    <mergeCell ref="B1:C1"/>
  </mergeCells>
  <printOptions gridLines="1"/>
  <pageMargins left="0.7" right="0.7" top="0.75" bottom="0.75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29"/>
  <sheetViews>
    <sheetView workbookViewId="0"/>
  </sheetViews>
  <sheetFormatPr defaultRowHeight="15" x14ac:dyDescent="0.25"/>
  <cols>
    <col min="3" max="3" width="12.7109375" bestFit="1" customWidth="1"/>
    <col min="4" max="4" width="9.28515625" bestFit="1" customWidth="1"/>
    <col min="5" max="5" width="12.7109375" customWidth="1"/>
    <col min="6" max="6" width="16.7109375" customWidth="1"/>
    <col min="7" max="7" width="9.85546875" customWidth="1"/>
    <col min="9" max="9" width="11.5703125" customWidth="1"/>
    <col min="10" max="10" width="11.42578125" customWidth="1"/>
    <col min="11" max="11" width="9.28515625" customWidth="1"/>
    <col min="12" max="12" width="11.5703125" customWidth="1"/>
    <col min="13" max="13" width="11.85546875" customWidth="1"/>
    <col min="14" max="15" width="12.7109375" customWidth="1"/>
    <col min="16" max="16" width="15.28515625" bestFit="1" customWidth="1"/>
    <col min="17" max="17" width="11.28515625" bestFit="1" customWidth="1"/>
    <col min="19" max="19" width="14.28515625" customWidth="1"/>
    <col min="21" max="21" width="16" customWidth="1"/>
  </cols>
  <sheetData>
    <row r="1" spans="1:21" x14ac:dyDescent="0.25">
      <c r="A1" s="25"/>
      <c r="B1" s="25"/>
      <c r="C1" s="25"/>
      <c r="D1" s="25"/>
      <c r="F1" s="59"/>
      <c r="G1" s="84"/>
      <c r="J1" s="59"/>
      <c r="L1" s="59"/>
      <c r="M1" s="30"/>
      <c r="N1" s="59"/>
      <c r="O1" s="60"/>
      <c r="P1" s="60"/>
    </row>
    <row r="2" spans="1:21" x14ac:dyDescent="0.25">
      <c r="A2" s="375" t="s">
        <v>34</v>
      </c>
      <c r="B2" s="376"/>
      <c r="C2" s="376"/>
      <c r="D2" s="377"/>
      <c r="E2" s="167" t="s">
        <v>34</v>
      </c>
      <c r="F2" s="167" t="s">
        <v>34</v>
      </c>
      <c r="G2" s="197" t="s">
        <v>34</v>
      </c>
      <c r="H2" s="197" t="s">
        <v>34</v>
      </c>
      <c r="I2" s="197" t="s">
        <v>34</v>
      </c>
      <c r="J2" s="197" t="s">
        <v>34</v>
      </c>
      <c r="K2" s="197" t="s">
        <v>34</v>
      </c>
      <c r="L2" s="197" t="s">
        <v>34</v>
      </c>
      <c r="M2" s="197" t="s">
        <v>47</v>
      </c>
      <c r="N2" s="181" t="s">
        <v>47</v>
      </c>
      <c r="O2" s="181" t="s">
        <v>47</v>
      </c>
      <c r="P2" s="172" t="s">
        <v>47</v>
      </c>
      <c r="Q2" s="220" t="s">
        <v>34</v>
      </c>
      <c r="R2" s="220" t="s">
        <v>34</v>
      </c>
      <c r="S2" s="220" t="s">
        <v>47</v>
      </c>
    </row>
    <row r="3" spans="1:21" s="85" customFormat="1" ht="36" customHeight="1" x14ac:dyDescent="0.25">
      <c r="A3" s="188" t="s">
        <v>36</v>
      </c>
      <c r="B3" s="189" t="s">
        <v>43</v>
      </c>
      <c r="C3" s="190" t="s">
        <v>50</v>
      </c>
      <c r="D3" s="191" t="s">
        <v>51</v>
      </c>
      <c r="E3" s="168" t="s">
        <v>71</v>
      </c>
      <c r="F3" s="168" t="s">
        <v>73</v>
      </c>
      <c r="G3" s="198" t="s">
        <v>52</v>
      </c>
      <c r="H3" s="199" t="s">
        <v>75</v>
      </c>
      <c r="I3" s="200" t="s">
        <v>24</v>
      </c>
      <c r="J3" s="200" t="s">
        <v>26</v>
      </c>
      <c r="K3" s="200" t="s">
        <v>28</v>
      </c>
      <c r="L3" s="200" t="s">
        <v>30</v>
      </c>
      <c r="M3" s="201" t="s">
        <v>76</v>
      </c>
      <c r="N3" s="182" t="s">
        <v>72</v>
      </c>
      <c r="O3" s="182" t="s">
        <v>74</v>
      </c>
      <c r="P3" s="221" t="s">
        <v>77</v>
      </c>
      <c r="Q3" s="173" t="s">
        <v>78</v>
      </c>
      <c r="R3" s="174" t="s">
        <v>79</v>
      </c>
      <c r="S3" s="222" t="s">
        <v>81</v>
      </c>
      <c r="U3" s="85" t="s">
        <v>82</v>
      </c>
    </row>
    <row r="4" spans="1:21" x14ac:dyDescent="0.25">
      <c r="A4" s="192">
        <v>52</v>
      </c>
      <c r="B4" s="169">
        <f>'Q1 (i) and (ii)'!H5</f>
        <v>98945.369481092901</v>
      </c>
      <c r="C4" s="165">
        <f>'Q1 (i) and (ii)'!I5</f>
        <v>302.76418661090952</v>
      </c>
      <c r="D4" s="193">
        <f>'Q1 (i) and (ii)'!J5</f>
        <v>333.09198421465078</v>
      </c>
      <c r="E4" s="251">
        <f t="shared" ref="E4:E23" si="0">C4/B4</f>
        <v>3.0599126386481744E-3</v>
      </c>
      <c r="F4" s="251">
        <f t="shared" ref="F4:F23" si="1">D4/B4</f>
        <v>3.3664231682746918E-3</v>
      </c>
      <c r="G4" s="202">
        <f>G26</f>
        <v>45000</v>
      </c>
      <c r="H4" s="203">
        <f>S26</f>
        <v>3284.6028480588784</v>
      </c>
      <c r="I4" s="204">
        <f>-J26*H4</f>
        <v>-985.3808544176635</v>
      </c>
      <c r="J4" s="204">
        <v>0</v>
      </c>
      <c r="K4" s="204">
        <f>-L26</f>
        <v>-400</v>
      </c>
      <c r="L4" s="204">
        <v>0</v>
      </c>
      <c r="M4" s="204">
        <f t="shared" ref="M4:M23" si="2">SUM(H4:L4)*$G$28</f>
        <v>80.716934729751628</v>
      </c>
      <c r="N4" s="254">
        <f t="shared" ref="N4:N23" si="3">-$N$26*G4*E4</f>
        <v>-550.78427495667142</v>
      </c>
      <c r="O4" s="254">
        <f t="shared" ref="O4:O23" si="4">-$N$27*G4*F4*$N$29</f>
        <v>-349.07695264703119</v>
      </c>
      <c r="P4" s="223">
        <f t="shared" ref="P4:P23" si="5">SUM(H4:O4)</f>
        <v>1080.0777007672637</v>
      </c>
      <c r="Q4" s="224">
        <f t="shared" ref="Q4:Q23" si="6">B4/$B$4</f>
        <v>1</v>
      </c>
      <c r="R4" s="225">
        <f>1/(1+$G$28)</f>
        <v>0.95923261390887293</v>
      </c>
      <c r="S4" s="226">
        <f t="shared" ref="S4:S23" si="7">P4*Q4*R4</f>
        <v>1036.0457561316678</v>
      </c>
      <c r="U4" s="86">
        <f t="shared" ref="U4:U23" si="8">H4/G4</f>
        <v>7.2991174401308409E-2</v>
      </c>
    </row>
    <row r="5" spans="1:21" x14ac:dyDescent="0.25">
      <c r="A5" s="194">
        <f t="shared" ref="A5:A23" si="9">A4+1</f>
        <v>53</v>
      </c>
      <c r="B5" s="169">
        <f>'Q1 (i) and (ii)'!H6</f>
        <v>98309.513310267343</v>
      </c>
      <c r="C5" s="165">
        <f>'Q1 (i) and (ii)'!I6</f>
        <v>342.61296398347781</v>
      </c>
      <c r="D5" s="193">
        <f>'Q1 (i) and (ii)'!J6</f>
        <v>376.9397737573554</v>
      </c>
      <c r="E5" s="252">
        <f t="shared" si="0"/>
        <v>3.4850438421171154E-3</v>
      </c>
      <c r="F5" s="252">
        <f t="shared" si="1"/>
        <v>3.8342146254729571E-3</v>
      </c>
      <c r="G5" s="205">
        <f t="shared" ref="G5:G23" si="10">G4*(1+$G$27)</f>
        <v>46350</v>
      </c>
      <c r="H5" s="206">
        <f t="shared" ref="H5:H23" si="11">H4*(1+$G$27)</f>
        <v>3383.1409335006447</v>
      </c>
      <c r="I5" s="206"/>
      <c r="J5" s="206">
        <f t="shared" ref="J5:J23" si="12">-$J$27*H5</f>
        <v>-84.578523337516117</v>
      </c>
      <c r="K5" s="206"/>
      <c r="L5" s="206">
        <f t="shared" ref="L5:L23" si="13">-$L$27</f>
        <v>-100</v>
      </c>
      <c r="M5" s="206">
        <f t="shared" si="2"/>
        <v>135.93890243193297</v>
      </c>
      <c r="N5" s="183">
        <f t="shared" si="3"/>
        <v>-646.12712832851321</v>
      </c>
      <c r="O5" s="183">
        <f t="shared" si="4"/>
        <v>-409.51151030693347</v>
      </c>
      <c r="P5" s="227">
        <f t="shared" si="5"/>
        <v>2278.8626739596148</v>
      </c>
      <c r="Q5" s="224">
        <f t="shared" si="6"/>
        <v>0.99357366419307713</v>
      </c>
      <c r="R5" s="225">
        <f t="shared" ref="R5:R23" si="14">R4/(1+$G$28)</f>
        <v>0.92012720758644884</v>
      </c>
      <c r="S5" s="228">
        <f t="shared" si="7"/>
        <v>2083.3685278851572</v>
      </c>
      <c r="U5" s="86">
        <f t="shared" si="8"/>
        <v>7.2991174401308409E-2</v>
      </c>
    </row>
    <row r="6" spans="1:21" x14ac:dyDescent="0.25">
      <c r="A6" s="194">
        <f t="shared" si="9"/>
        <v>54</v>
      </c>
      <c r="B6" s="169">
        <f>'Q1 (i) and (ii)'!H7</f>
        <v>97589.960572526499</v>
      </c>
      <c r="C6" s="165">
        <f>'Q1 (i) and (ii)'!I7</f>
        <v>386.93008893166297</v>
      </c>
      <c r="D6" s="193">
        <f>'Q1 (i) and (ii)'!J7</f>
        <v>425.70757248232587</v>
      </c>
      <c r="E6" s="252">
        <f t="shared" si="0"/>
        <v>3.9648554693708059E-3</v>
      </c>
      <c r="F6" s="252">
        <f t="shared" si="1"/>
        <v>4.3622066243786447E-3</v>
      </c>
      <c r="G6" s="205">
        <f t="shared" si="10"/>
        <v>47740.5</v>
      </c>
      <c r="H6" s="206">
        <f t="shared" si="11"/>
        <v>3484.6351615056642</v>
      </c>
      <c r="I6" s="206"/>
      <c r="J6" s="206">
        <f t="shared" si="12"/>
        <v>-87.115879037641605</v>
      </c>
      <c r="K6" s="206"/>
      <c r="L6" s="206">
        <f t="shared" si="13"/>
        <v>-100</v>
      </c>
      <c r="M6" s="206">
        <f t="shared" si="2"/>
        <v>140.14456950489097</v>
      </c>
      <c r="N6" s="183">
        <f>-$N$26*G6*E6</f>
        <v>-757.13673014198787</v>
      </c>
      <c r="O6" s="183">
        <f t="shared" si="4"/>
        <v>-479.88055376108537</v>
      </c>
      <c r="P6" s="227">
        <f t="shared" si="5"/>
        <v>2200.6465680698402</v>
      </c>
      <c r="Q6" s="224">
        <f t="shared" si="6"/>
        <v>0.9863014417382574</v>
      </c>
      <c r="R6" s="225">
        <f t="shared" si="14"/>
        <v>0.88261602646182147</v>
      </c>
      <c r="S6" s="228">
        <f t="shared" si="7"/>
        <v>1915.7188646473217</v>
      </c>
      <c r="U6" s="86">
        <f t="shared" si="8"/>
        <v>7.2991174401308409E-2</v>
      </c>
    </row>
    <row r="7" spans="1:21" x14ac:dyDescent="0.25">
      <c r="A7" s="194">
        <f t="shared" si="9"/>
        <v>55</v>
      </c>
      <c r="B7" s="169">
        <f>'Q1 (i) and (ii)'!H8</f>
        <v>96777.322911112511</v>
      </c>
      <c r="C7" s="165">
        <f>'Q1 (i) and (ii)'!I8</f>
        <v>436.06380890475685</v>
      </c>
      <c r="D7" s="193">
        <f>'Q1 (i) and (ii)'!J8</f>
        <v>479.77925774279498</v>
      </c>
      <c r="E7" s="252">
        <f t="shared" si="0"/>
        <v>4.505846987576524E-3</v>
      </c>
      <c r="F7" s="252">
        <f t="shared" si="1"/>
        <v>4.9575586853488384E-3</v>
      </c>
      <c r="G7" s="205">
        <f t="shared" si="10"/>
        <v>49172.715000000004</v>
      </c>
      <c r="H7" s="206">
        <f t="shared" si="11"/>
        <v>3589.1742163508343</v>
      </c>
      <c r="I7" s="206"/>
      <c r="J7" s="206">
        <f t="shared" si="12"/>
        <v>-89.729355408770857</v>
      </c>
      <c r="K7" s="206"/>
      <c r="L7" s="206">
        <f t="shared" si="13"/>
        <v>-100</v>
      </c>
      <c r="M7" s="206">
        <f t="shared" si="2"/>
        <v>144.4764065900377</v>
      </c>
      <c r="N7" s="183">
        <f t="shared" si="3"/>
        <v>-886.2589190148359</v>
      </c>
      <c r="O7" s="183">
        <f t="shared" si="4"/>
        <v>-561.73567610272585</v>
      </c>
      <c r="P7" s="227">
        <f t="shared" si="5"/>
        <v>2095.9266724145391</v>
      </c>
      <c r="Q7" s="224">
        <f t="shared" si="6"/>
        <v>0.97808844838974829</v>
      </c>
      <c r="R7" s="225">
        <f t="shared" si="14"/>
        <v>0.84663407814083591</v>
      </c>
      <c r="S7" s="228">
        <f t="shared" si="7"/>
        <v>1735.6012714943854</v>
      </c>
      <c r="U7" s="86">
        <f t="shared" si="8"/>
        <v>7.2991174401308409E-2</v>
      </c>
    </row>
    <row r="8" spans="1:21" x14ac:dyDescent="0.25">
      <c r="A8" s="194">
        <f t="shared" si="9"/>
        <v>56</v>
      </c>
      <c r="B8" s="169">
        <f>'Q1 (i) and (ii)'!H9</f>
        <v>95861.479844464964</v>
      </c>
      <c r="C8" s="165">
        <f>'Q1 (i) and (ii)'!I9</f>
        <v>490.38746323081529</v>
      </c>
      <c r="D8" s="193">
        <f>'Q1 (i) and (ii)'!J9</f>
        <v>539.56559956814112</v>
      </c>
      <c r="E8" s="252">
        <f t="shared" si="0"/>
        <v>5.1155841118504311E-3</v>
      </c>
      <c r="F8" s="252">
        <f t="shared" si="1"/>
        <v>5.6285966004654331E-3</v>
      </c>
      <c r="G8" s="205">
        <f t="shared" si="10"/>
        <v>50647.896450000007</v>
      </c>
      <c r="H8" s="206">
        <f t="shared" si="11"/>
        <v>3696.8494428413596</v>
      </c>
      <c r="I8" s="206"/>
      <c r="J8" s="206">
        <f t="shared" si="12"/>
        <v>-92.421236071034002</v>
      </c>
      <c r="K8" s="206"/>
      <c r="L8" s="206">
        <f t="shared" si="13"/>
        <v>-100</v>
      </c>
      <c r="M8" s="206">
        <f t="shared" si="2"/>
        <v>148.93819878773886</v>
      </c>
      <c r="N8" s="183">
        <f t="shared" si="3"/>
        <v>-1036.3742975130635</v>
      </c>
      <c r="O8" s="183">
        <f t="shared" si="4"/>
        <v>-656.90337302562057</v>
      </c>
      <c r="P8" s="227">
        <f t="shared" si="5"/>
        <v>1960.0887350193802</v>
      </c>
      <c r="Q8" s="224">
        <f t="shared" si="6"/>
        <v>0.96883240061863407</v>
      </c>
      <c r="R8" s="225">
        <f t="shared" si="14"/>
        <v>0.81211901979936296</v>
      </c>
      <c r="S8" s="228">
        <f t="shared" si="7"/>
        <v>1542.2119676528014</v>
      </c>
      <c r="U8" s="86">
        <f t="shared" si="8"/>
        <v>7.2991174401308409E-2</v>
      </c>
    </row>
    <row r="9" spans="1:21" x14ac:dyDescent="0.25">
      <c r="A9" s="194">
        <f t="shared" si="9"/>
        <v>57</v>
      </c>
      <c r="B9" s="169">
        <f>'Q1 (i) and (ii)'!H10</f>
        <v>94831.526781666005</v>
      </c>
      <c r="C9" s="165">
        <f>'Q1 (i) and (ii)'!I10</f>
        <v>550.0696995147473</v>
      </c>
      <c r="D9" s="193">
        <f>'Q1 (i) and (ii)'!J10</f>
        <v>605.25440627360524</v>
      </c>
      <c r="E9" s="252">
        <f t="shared" si="0"/>
        <v>5.8004939726552362E-3</v>
      </c>
      <c r="F9" s="252">
        <f t="shared" si="1"/>
        <v>6.3824176074598477E-3</v>
      </c>
      <c r="G9" s="205">
        <f t="shared" si="10"/>
        <v>52167.33334350001</v>
      </c>
      <c r="H9" s="206">
        <f t="shared" si="11"/>
        <v>3807.7549261266004</v>
      </c>
      <c r="I9" s="206"/>
      <c r="J9" s="206">
        <f t="shared" si="12"/>
        <v>-95.193873153165015</v>
      </c>
      <c r="K9" s="206"/>
      <c r="L9" s="206">
        <f t="shared" si="13"/>
        <v>-100</v>
      </c>
      <c r="M9" s="206">
        <f t="shared" si="2"/>
        <v>153.53384475137102</v>
      </c>
      <c r="N9" s="183">
        <f t="shared" si="3"/>
        <v>-1210.3852105138733</v>
      </c>
      <c r="O9" s="183">
        <f t="shared" si="4"/>
        <v>-767.22687919637849</v>
      </c>
      <c r="P9" s="227">
        <f t="shared" si="5"/>
        <v>1788.4828080145548</v>
      </c>
      <c r="Q9" s="224">
        <f t="shared" si="6"/>
        <v>0.95842309022644057</v>
      </c>
      <c r="R9" s="225">
        <f t="shared" si="14"/>
        <v>0.77901105016725469</v>
      </c>
      <c r="S9" s="228">
        <f t="shared" si="7"/>
        <v>1335.320929474452</v>
      </c>
      <c r="U9" s="86">
        <f t="shared" si="8"/>
        <v>7.2991174401308409E-2</v>
      </c>
    </row>
    <row r="10" spans="1:21" x14ac:dyDescent="0.25">
      <c r="A10" s="194">
        <f t="shared" si="9"/>
        <v>58</v>
      </c>
      <c r="B10" s="169">
        <f>'Q1 (i) and (ii)'!H11</f>
        <v>93676.202675877648</v>
      </c>
      <c r="C10" s="165">
        <f>'Q1 (i) and (ii)'!I11</f>
        <v>615.37485919458811</v>
      </c>
      <c r="D10" s="193">
        <f>'Q1 (i) and (ii)'!J11</f>
        <v>677.13701200611172</v>
      </c>
      <c r="E10" s="252">
        <f t="shared" si="0"/>
        <v>6.5691695608521066E-3</v>
      </c>
      <c r="F10" s="252">
        <f t="shared" si="1"/>
        <v>7.2284848516866685E-3</v>
      </c>
      <c r="G10" s="205">
        <f t="shared" si="10"/>
        <v>53732.353343805014</v>
      </c>
      <c r="H10" s="206">
        <f t="shared" si="11"/>
        <v>3921.9875739103986</v>
      </c>
      <c r="I10" s="206"/>
      <c r="J10" s="206">
        <f t="shared" si="12"/>
        <v>-98.049689347759966</v>
      </c>
      <c r="K10" s="206"/>
      <c r="L10" s="206">
        <f t="shared" si="13"/>
        <v>-100</v>
      </c>
      <c r="M10" s="206">
        <f t="shared" si="2"/>
        <v>158.26736009391217</v>
      </c>
      <c r="N10" s="183">
        <f t="shared" si="3"/>
        <v>-1411.9077600762953</v>
      </c>
      <c r="O10" s="183">
        <f t="shared" si="4"/>
        <v>-895.00011776472149</v>
      </c>
      <c r="P10" s="227">
        <f t="shared" si="5"/>
        <v>1575.2973668155341</v>
      </c>
      <c r="Q10" s="224">
        <f t="shared" si="6"/>
        <v>0.9467467064618712</v>
      </c>
      <c r="R10" s="225">
        <f t="shared" si="14"/>
        <v>0.74725280591583187</v>
      </c>
      <c r="S10" s="228">
        <f t="shared" si="7"/>
        <v>1114.4585091794186</v>
      </c>
      <c r="U10" s="86">
        <f t="shared" si="8"/>
        <v>7.2991174401308409E-2</v>
      </c>
    </row>
    <row r="11" spans="1:21" x14ac:dyDescent="0.25">
      <c r="A11" s="194">
        <f t="shared" si="9"/>
        <v>59</v>
      </c>
      <c r="B11" s="169">
        <f>'Q1 (i) and (ii)'!H12</f>
        <v>92383.690804676939</v>
      </c>
      <c r="C11" s="165">
        <f>'Q1 (i) and (ii)'!I12</f>
        <v>686.52376911241845</v>
      </c>
      <c r="D11" s="193">
        <f>'Q1 (i) and (ii)'!J12</f>
        <v>755.46026459630411</v>
      </c>
      <c r="E11" s="252">
        <f t="shared" si="0"/>
        <v>7.4312225797939554E-3</v>
      </c>
      <c r="F11" s="252">
        <f t="shared" si="1"/>
        <v>8.1774202569319613E-3</v>
      </c>
      <c r="G11" s="205">
        <f t="shared" si="10"/>
        <v>55344.323944119169</v>
      </c>
      <c r="H11" s="206">
        <f t="shared" si="11"/>
        <v>4039.6472011277106</v>
      </c>
      <c r="I11" s="206"/>
      <c r="J11" s="206">
        <f t="shared" si="12"/>
        <v>-100.99118002819277</v>
      </c>
      <c r="K11" s="206"/>
      <c r="L11" s="206">
        <f t="shared" si="13"/>
        <v>-100</v>
      </c>
      <c r="M11" s="206">
        <f t="shared" si="2"/>
        <v>163.14288089672951</v>
      </c>
      <c r="N11" s="183">
        <f t="shared" si="3"/>
        <v>-1645.1039590278785</v>
      </c>
      <c r="O11" s="183">
        <f t="shared" si="4"/>
        <v>-1042.868043639287</v>
      </c>
      <c r="P11" s="227">
        <f t="shared" si="5"/>
        <v>1313.8268993290812</v>
      </c>
      <c r="Q11" s="224">
        <f t="shared" si="6"/>
        <v>0.9336838225899009</v>
      </c>
      <c r="R11" s="225">
        <f t="shared" si="14"/>
        <v>0.71678926226938311</v>
      </c>
      <c r="S11" s="228">
        <f t="shared" si="7"/>
        <v>879.28461503100323</v>
      </c>
      <c r="U11" s="86">
        <f t="shared" si="8"/>
        <v>7.2991174401308395E-2</v>
      </c>
    </row>
    <row r="12" spans="1:21" x14ac:dyDescent="0.25">
      <c r="A12" s="194">
        <f t="shared" si="9"/>
        <v>60</v>
      </c>
      <c r="B12" s="169">
        <f>'Q1 (i) and (ii)'!H13</f>
        <v>90941.706770968216</v>
      </c>
      <c r="C12" s="165">
        <f>'Q1 (i) and (ii)'!I13</f>
        <v>763.46738423007082</v>
      </c>
      <c r="D12" s="193">
        <f>'Q1 (i) and (ii)'!J13</f>
        <v>840.17044781754555</v>
      </c>
      <c r="E12" s="252">
        <f t="shared" si="0"/>
        <v>8.39512926838752E-3</v>
      </c>
      <c r="F12" s="252">
        <f t="shared" si="1"/>
        <v>9.2385603662956256E-3</v>
      </c>
      <c r="G12" s="205">
        <f t="shared" si="10"/>
        <v>57004.653662442746</v>
      </c>
      <c r="H12" s="206">
        <f t="shared" si="11"/>
        <v>4160.8366171615417</v>
      </c>
      <c r="I12" s="206"/>
      <c r="J12" s="206">
        <f t="shared" si="12"/>
        <v>-104.02091542903855</v>
      </c>
      <c r="K12" s="206"/>
      <c r="L12" s="206">
        <f t="shared" si="13"/>
        <v>-100</v>
      </c>
      <c r="M12" s="206">
        <f t="shared" si="2"/>
        <v>168.16466732363139</v>
      </c>
      <c r="N12" s="183">
        <f t="shared" si="3"/>
        <v>-1914.2457455834676</v>
      </c>
      <c r="O12" s="183">
        <f t="shared" si="4"/>
        <v>-1213.5413180076218</v>
      </c>
      <c r="P12" s="227">
        <f t="shared" si="5"/>
        <v>997.19330546504466</v>
      </c>
      <c r="Q12" s="224">
        <f t="shared" si="6"/>
        <v>0.91911028528066618</v>
      </c>
      <c r="R12" s="225">
        <f t="shared" si="14"/>
        <v>0.68756763766847306</v>
      </c>
      <c r="S12" s="228">
        <f t="shared" si="7"/>
        <v>630.17679562729438</v>
      </c>
      <c r="U12" s="86">
        <f t="shared" si="8"/>
        <v>7.2991174401308395E-2</v>
      </c>
    </row>
    <row r="13" spans="1:21" x14ac:dyDescent="0.25">
      <c r="A13" s="194">
        <f t="shared" si="9"/>
        <v>61</v>
      </c>
      <c r="B13" s="169">
        <f>'Q1 (i) and (ii)'!H14</f>
        <v>89338.068938920595</v>
      </c>
      <c r="C13" s="165">
        <f>'Q1 (i) and (ii)'!I14</f>
        <v>846.25842700134513</v>
      </c>
      <c r="D13" s="193">
        <f>'Q1 (i) and (ii)'!J14</f>
        <v>931.33113827262946</v>
      </c>
      <c r="E13" s="252">
        <f t="shared" si="0"/>
        <v>9.4725399491220504E-3</v>
      </c>
      <c r="F13" s="252">
        <f t="shared" si="1"/>
        <v>1.0424795939000761E-2</v>
      </c>
      <c r="G13" s="205">
        <f t="shared" si="10"/>
        <v>58714.793272316027</v>
      </c>
      <c r="H13" s="206">
        <f t="shared" si="11"/>
        <v>4285.6617156763878</v>
      </c>
      <c r="I13" s="206"/>
      <c r="J13" s="206">
        <f t="shared" si="12"/>
        <v>-107.14154289190969</v>
      </c>
      <c r="K13" s="206"/>
      <c r="L13" s="206">
        <f t="shared" si="13"/>
        <v>-100</v>
      </c>
      <c r="M13" s="206">
        <f t="shared" si="2"/>
        <v>173.33710734334031</v>
      </c>
      <c r="N13" s="183">
        <f t="shared" si="3"/>
        <v>-2224.7128995058247</v>
      </c>
      <c r="O13" s="183">
        <f t="shared" si="4"/>
        <v>-1410.4414221751258</v>
      </c>
      <c r="P13" s="227">
        <f t="shared" si="5"/>
        <v>616.70295844686734</v>
      </c>
      <c r="Q13" s="224">
        <f t="shared" si="6"/>
        <v>0.90290297976998179</v>
      </c>
      <c r="R13" s="225">
        <f t="shared" si="14"/>
        <v>0.65953730231987828</v>
      </c>
      <c r="S13" s="228">
        <f t="shared" si="7"/>
        <v>367.24549893563415</v>
      </c>
      <c r="U13" s="86">
        <f t="shared" si="8"/>
        <v>7.2991174401308395E-2</v>
      </c>
    </row>
    <row r="14" spans="1:21" x14ac:dyDescent="0.25">
      <c r="A14" s="194">
        <f t="shared" si="9"/>
        <v>62</v>
      </c>
      <c r="B14" s="169">
        <f>'Q1 (i) and (ii)'!H15</f>
        <v>87560.479373646624</v>
      </c>
      <c r="C14" s="165">
        <f>'Q1 (i) and (ii)'!I15</f>
        <v>934.71208246344645</v>
      </c>
      <c r="D14" s="193">
        <f>'Q1 (i) and (ii)'!J15</f>
        <v>1028.7409137279503</v>
      </c>
      <c r="E14" s="252">
        <f t="shared" si="0"/>
        <v>1.0675045284696899E-2</v>
      </c>
      <c r="F14" s="252">
        <f t="shared" si="1"/>
        <v>1.1748918245844757E-2</v>
      </c>
      <c r="G14" s="205">
        <f t="shared" si="10"/>
        <v>60476.237070485506</v>
      </c>
      <c r="H14" s="206">
        <f t="shared" si="11"/>
        <v>4414.2315671466795</v>
      </c>
      <c r="I14" s="206"/>
      <c r="J14" s="206">
        <f t="shared" si="12"/>
        <v>-110.355789178667</v>
      </c>
      <c r="K14" s="206"/>
      <c r="L14" s="206">
        <f t="shared" si="13"/>
        <v>-100</v>
      </c>
      <c r="M14" s="206">
        <f t="shared" si="2"/>
        <v>178.66472056364054</v>
      </c>
      <c r="N14" s="183">
        <f t="shared" si="3"/>
        <v>-2582.3462775019925</v>
      </c>
      <c r="O14" s="183">
        <f t="shared" si="4"/>
        <v>-1637.2786468293452</v>
      </c>
      <c r="P14" s="227">
        <f t="shared" si="5"/>
        <v>162.91557420031586</v>
      </c>
      <c r="Q14" s="224">
        <f t="shared" si="6"/>
        <v>0.88493761590711151</v>
      </c>
      <c r="R14" s="225">
        <f t="shared" si="14"/>
        <v>0.63264969047470343</v>
      </c>
      <c r="S14" s="228">
        <f t="shared" si="7"/>
        <v>91.209181684230714</v>
      </c>
      <c r="U14" s="86">
        <f t="shared" si="8"/>
        <v>7.2991174401308395E-2</v>
      </c>
    </row>
    <row r="15" spans="1:21" x14ac:dyDescent="0.25">
      <c r="A15" s="194">
        <f t="shared" si="9"/>
        <v>63</v>
      </c>
      <c r="B15" s="169">
        <f>'Q1 (i) and (ii)'!H16</f>
        <v>85597.02637745523</v>
      </c>
      <c r="C15" s="165">
        <f>'Q1 (i) and (ii)'!I16</f>
        <v>1028.5562234232057</v>
      </c>
      <c r="D15" s="193">
        <f>'Q1 (i) and (ii)'!J16</f>
        <v>1132.1040478640602</v>
      </c>
      <c r="E15" s="252">
        <f t="shared" si="0"/>
        <v>1.2016261159442678E-2</v>
      </c>
      <c r="F15" s="252">
        <f t="shared" si="1"/>
        <v>1.3225974029423023E-2</v>
      </c>
      <c r="G15" s="205">
        <f t="shared" si="10"/>
        <v>62290.524182600071</v>
      </c>
      <c r="H15" s="206">
        <f t="shared" si="11"/>
        <v>4546.6585141610803</v>
      </c>
      <c r="I15" s="206"/>
      <c r="J15" s="206">
        <f t="shared" si="12"/>
        <v>-113.66646285402702</v>
      </c>
      <c r="K15" s="206"/>
      <c r="L15" s="206">
        <f t="shared" si="13"/>
        <v>-100</v>
      </c>
      <c r="M15" s="206">
        <f t="shared" si="2"/>
        <v>184.15216218054979</v>
      </c>
      <c r="N15" s="183">
        <f t="shared" si="3"/>
        <v>-2993.9968253468082</v>
      </c>
      <c r="O15" s="183">
        <f t="shared" si="4"/>
        <v>-1898.4082228709822</v>
      </c>
      <c r="P15" s="227">
        <f t="shared" si="5"/>
        <v>-375.26083473018707</v>
      </c>
      <c r="Q15" s="224">
        <f t="shared" si="6"/>
        <v>0.86509380708120598</v>
      </c>
      <c r="R15" s="225">
        <f t="shared" si="14"/>
        <v>0.6068582162826891</v>
      </c>
      <c r="S15" s="228">
        <f t="shared" si="7"/>
        <v>-197.00791719435929</v>
      </c>
      <c r="U15" s="86">
        <f t="shared" si="8"/>
        <v>7.2991174401308409E-2</v>
      </c>
    </row>
    <row r="16" spans="1:21" x14ac:dyDescent="0.25">
      <c r="A16" s="194">
        <f t="shared" si="9"/>
        <v>64</v>
      </c>
      <c r="B16" s="169">
        <f>'Q1 (i) and (ii)'!H17</f>
        <v>83436.36610616796</v>
      </c>
      <c r="C16" s="165">
        <f>'Q1 (i) and (ii)'!I17</f>
        <v>1127.0165507534612</v>
      </c>
      <c r="D16" s="193">
        <f>'Q1 (i) and (ii)'!J17</f>
        <v>1240.572350500933</v>
      </c>
      <c r="E16" s="252">
        <f t="shared" si="0"/>
        <v>1.3507498029329294E-2</v>
      </c>
      <c r="F16" s="252">
        <f t="shared" si="1"/>
        <v>1.4868484911272097E-2</v>
      </c>
      <c r="G16" s="205">
        <f t="shared" si="10"/>
        <v>64159.239908078074</v>
      </c>
      <c r="H16" s="206">
        <f t="shared" si="11"/>
        <v>4683.058269585913</v>
      </c>
      <c r="I16" s="206"/>
      <c r="J16" s="206">
        <f t="shared" si="12"/>
        <v>-117.07645673964782</v>
      </c>
      <c r="K16" s="206"/>
      <c r="L16" s="206">
        <f t="shared" si="13"/>
        <v>-100</v>
      </c>
      <c r="M16" s="206">
        <f t="shared" si="2"/>
        <v>189.80422704596626</v>
      </c>
      <c r="N16" s="183">
        <f t="shared" si="3"/>
        <v>-3466.5232264865199</v>
      </c>
      <c r="O16" s="183">
        <f t="shared" si="4"/>
        <v>-2198.193310604599</v>
      </c>
      <c r="P16" s="227">
        <f t="shared" si="5"/>
        <v>-1008.9304971988877</v>
      </c>
      <c r="Q16" s="224">
        <f t="shared" si="6"/>
        <v>0.84325690574243095</v>
      </c>
      <c r="R16" s="225">
        <f t="shared" si="14"/>
        <v>0.58211819307692003</v>
      </c>
      <c r="S16" s="228">
        <f t="shared" si="7"/>
        <v>-495.25894574641001</v>
      </c>
      <c r="U16" s="86">
        <f t="shared" si="8"/>
        <v>7.2991174401308409E-2</v>
      </c>
    </row>
    <row r="17" spans="1:21" x14ac:dyDescent="0.25">
      <c r="A17" s="194">
        <f t="shared" si="9"/>
        <v>65</v>
      </c>
      <c r="B17" s="169">
        <f>'Q1 (i) and (ii)'!H18</f>
        <v>81068.777204913567</v>
      </c>
      <c r="C17" s="165">
        <f>'Q1 (i) and (ii)'!I18</f>
        <v>1229.3469197290231</v>
      </c>
      <c r="D17" s="193">
        <f>'Q1 (i) and (ii)'!J18</f>
        <v>1353.3299924829034</v>
      </c>
      <c r="E17" s="252">
        <f t="shared" si="0"/>
        <v>1.5164246484459279E-2</v>
      </c>
      <c r="F17" s="252">
        <f t="shared" si="1"/>
        <v>1.6693603124938689E-2</v>
      </c>
      <c r="G17" s="205">
        <f t="shared" si="10"/>
        <v>66084.017105320425</v>
      </c>
      <c r="H17" s="206">
        <f t="shared" si="11"/>
        <v>4823.5500176734904</v>
      </c>
      <c r="I17" s="206"/>
      <c r="J17" s="206">
        <f t="shared" si="12"/>
        <v>-120.58875044183726</v>
      </c>
      <c r="K17" s="206"/>
      <c r="L17" s="206">
        <f t="shared" si="13"/>
        <v>-100</v>
      </c>
      <c r="M17" s="206">
        <f t="shared" si="2"/>
        <v>195.62585385734528</v>
      </c>
      <c r="N17" s="183">
        <f t="shared" si="3"/>
        <v>-4008.4572962732086</v>
      </c>
      <c r="O17" s="183">
        <f t="shared" si="4"/>
        <v>-2542.0639659154317</v>
      </c>
      <c r="P17" s="227">
        <f t="shared" si="5"/>
        <v>-1751.9341410996412</v>
      </c>
      <c r="Q17" s="224">
        <f t="shared" si="6"/>
        <v>0.81932866217053946</v>
      </c>
      <c r="R17" s="225">
        <f t="shared" si="14"/>
        <v>0.55838675594908393</v>
      </c>
      <c r="S17" s="228">
        <f t="shared" si="7"/>
        <v>-801.5138529704351</v>
      </c>
      <c r="U17" s="86">
        <f t="shared" si="8"/>
        <v>7.2991174401308395E-2</v>
      </c>
    </row>
    <row r="18" spans="1:21" x14ac:dyDescent="0.25">
      <c r="A18" s="194">
        <f t="shared" si="9"/>
        <v>66</v>
      </c>
      <c r="B18" s="169">
        <f>'Q1 (i) and (ii)'!H19</f>
        <v>78486.100292701638</v>
      </c>
      <c r="C18" s="165">
        <f>'Q1 (i) and (ii)'!I19</f>
        <v>1334.4029389577088</v>
      </c>
      <c r="D18" s="193">
        <f>'Q1 (i) and (ii)'!J19</f>
        <v>1469.1231058724079</v>
      </c>
      <c r="E18" s="252">
        <f t="shared" si="0"/>
        <v>1.7001773995411439E-2</v>
      </c>
      <c r="F18" s="252">
        <f t="shared" si="1"/>
        <v>1.8718258397264521E-2</v>
      </c>
      <c r="G18" s="205">
        <f t="shared" si="10"/>
        <v>68066.537618480041</v>
      </c>
      <c r="H18" s="206">
        <f t="shared" si="11"/>
        <v>4968.2565182036951</v>
      </c>
      <c r="I18" s="206"/>
      <c r="J18" s="206">
        <f t="shared" si="12"/>
        <v>-124.20641295509239</v>
      </c>
      <c r="K18" s="206"/>
      <c r="L18" s="206">
        <f t="shared" si="13"/>
        <v>-100</v>
      </c>
      <c r="M18" s="206">
        <f t="shared" si="2"/>
        <v>201.62212947306563</v>
      </c>
      <c r="N18" s="183">
        <f t="shared" si="3"/>
        <v>-4629.0075569582732</v>
      </c>
      <c r="O18" s="183">
        <f t="shared" si="4"/>
        <v>-2935.8850881302169</v>
      </c>
      <c r="P18" s="227">
        <f t="shared" si="5"/>
        <v>-2619.2204103668219</v>
      </c>
      <c r="Q18" s="224">
        <f t="shared" si="6"/>
        <v>0.79322661287044116</v>
      </c>
      <c r="R18" s="225">
        <f t="shared" si="14"/>
        <v>0.53562278748113568</v>
      </c>
      <c r="S18" s="228">
        <f t="shared" si="7"/>
        <v>-1112.8288292215516</v>
      </c>
      <c r="U18" s="86">
        <f t="shared" si="8"/>
        <v>7.2991174401308395E-2</v>
      </c>
    </row>
    <row r="19" spans="1:21" x14ac:dyDescent="0.25">
      <c r="A19" s="194">
        <f t="shared" si="9"/>
        <v>67</v>
      </c>
      <c r="B19" s="169">
        <f>'Q1 (i) and (ii)'!H20</f>
        <v>75682.574247871526</v>
      </c>
      <c r="C19" s="165">
        <f>'Q1 (i) and (ii)'!I20</f>
        <v>1440.7900029717157</v>
      </c>
      <c r="D19" s="193">
        <f>'Q1 (i) and (ii)'!J20</f>
        <v>1586.420931418801</v>
      </c>
      <c r="E19" s="252">
        <f t="shared" si="0"/>
        <v>1.9037275321171256E-2</v>
      </c>
      <c r="F19" s="252">
        <f t="shared" si="1"/>
        <v>2.0961508605971037E-2</v>
      </c>
      <c r="G19" s="205">
        <f t="shared" si="10"/>
        <v>70108.533747034438</v>
      </c>
      <c r="H19" s="206">
        <f t="shared" si="11"/>
        <v>5117.304213749806</v>
      </c>
      <c r="I19" s="206"/>
      <c r="J19" s="206">
        <f t="shared" si="12"/>
        <v>-127.93260534374515</v>
      </c>
      <c r="K19" s="206"/>
      <c r="L19" s="206">
        <f t="shared" si="13"/>
        <v>-100</v>
      </c>
      <c r="M19" s="206">
        <f t="shared" si="2"/>
        <v>207.79829335725759</v>
      </c>
      <c r="N19" s="183">
        <f t="shared" si="3"/>
        <v>-5338.7018372236835</v>
      </c>
      <c r="O19" s="183">
        <f t="shared" si="4"/>
        <v>-3386.3619473527729</v>
      </c>
      <c r="P19" s="227">
        <f t="shared" si="5"/>
        <v>-3627.8938828131381</v>
      </c>
      <c r="Q19" s="224">
        <f t="shared" si="6"/>
        <v>0.76489253256397638</v>
      </c>
      <c r="R19" s="225">
        <f t="shared" si="14"/>
        <v>0.51378684650468653</v>
      </c>
      <c r="S19" s="228">
        <f t="shared" si="7"/>
        <v>-1425.7322650418701</v>
      </c>
      <c r="U19" s="86">
        <f t="shared" si="8"/>
        <v>7.2991174401308395E-2</v>
      </c>
    </row>
    <row r="20" spans="1:21" x14ac:dyDescent="0.25">
      <c r="A20" s="194">
        <f t="shared" si="9"/>
        <v>68</v>
      </c>
      <c r="B20" s="169">
        <f>'Q1 (i) and (ii)'!H21</f>
        <v>72655.363313481008</v>
      </c>
      <c r="C20" s="165">
        <f>'Q1 (i) and (ii)'!I21</f>
        <v>1546.7386060203405</v>
      </c>
      <c r="D20" s="193">
        <f>'Q1 (i) and (ii)'!J21</f>
        <v>1703.2816750138049</v>
      </c>
      <c r="E20" s="252">
        <f t="shared" si="0"/>
        <v>2.128870513449552E-2</v>
      </c>
      <c r="F20" s="252">
        <f t="shared" si="1"/>
        <v>2.3443302701065229E-2</v>
      </c>
      <c r="G20" s="205">
        <f t="shared" si="10"/>
        <v>72211.78975944547</v>
      </c>
      <c r="H20" s="206">
        <f t="shared" si="11"/>
        <v>5270.8233401623002</v>
      </c>
      <c r="I20" s="206"/>
      <c r="J20" s="206">
        <f t="shared" si="12"/>
        <v>-131.7705835040575</v>
      </c>
      <c r="K20" s="206"/>
      <c r="L20" s="206">
        <f t="shared" si="13"/>
        <v>-100</v>
      </c>
      <c r="M20" s="206">
        <f t="shared" si="2"/>
        <v>214.1597421579753</v>
      </c>
      <c r="N20" s="183">
        <f t="shared" si="3"/>
        <v>-6149.1819976920715</v>
      </c>
      <c r="O20" s="183">
        <f t="shared" si="4"/>
        <v>-3900.9183437055685</v>
      </c>
      <c r="P20" s="227">
        <f t="shared" si="5"/>
        <v>-4796.8878425814219</v>
      </c>
      <c r="Q20" s="224">
        <f t="shared" si="6"/>
        <v>0.73429776142646519</v>
      </c>
      <c r="R20" s="225">
        <f t="shared" si="14"/>
        <v>0.49284109976468732</v>
      </c>
      <c r="S20" s="228">
        <f t="shared" si="7"/>
        <v>-1735.9558929871459</v>
      </c>
      <c r="U20" s="86">
        <f t="shared" si="8"/>
        <v>7.2991174401308395E-2</v>
      </c>
    </row>
    <row r="21" spans="1:21" x14ac:dyDescent="0.25">
      <c r="A21" s="194">
        <f t="shared" si="9"/>
        <v>69</v>
      </c>
      <c r="B21" s="169">
        <f>'Q1 (i) and (ii)'!H22</f>
        <v>69405.343032446865</v>
      </c>
      <c r="C21" s="165">
        <f>'Q1 (i) and (ii)'!I22</f>
        <v>1650.094511071112</v>
      </c>
      <c r="D21" s="193">
        <f>'Q1 (i) and (ii)'!J22</f>
        <v>1817.3386980940752</v>
      </c>
      <c r="E21" s="252">
        <f t="shared" si="0"/>
        <v>2.377474757670596E-2</v>
      </c>
      <c r="F21" s="252">
        <f t="shared" si="1"/>
        <v>2.6184420661165421E-2</v>
      </c>
      <c r="G21" s="205">
        <f t="shared" si="10"/>
        <v>74378.143452228833</v>
      </c>
      <c r="H21" s="206">
        <f t="shared" si="11"/>
        <v>5428.9480403671696</v>
      </c>
      <c r="I21" s="206"/>
      <c r="J21" s="206">
        <f t="shared" si="12"/>
        <v>-135.72370100917925</v>
      </c>
      <c r="K21" s="206"/>
      <c r="L21" s="206">
        <f t="shared" si="13"/>
        <v>-100</v>
      </c>
      <c r="M21" s="206">
        <f t="shared" si="2"/>
        <v>220.71203442271459</v>
      </c>
      <c r="N21" s="183">
        <f t="shared" si="3"/>
        <v>-7073.2863432030626</v>
      </c>
      <c r="O21" s="183">
        <f t="shared" si="4"/>
        <v>-4487.7458958867646</v>
      </c>
      <c r="P21" s="227">
        <f t="shared" si="5"/>
        <v>-6147.0958653091229</v>
      </c>
      <c r="Q21" s="224">
        <f t="shared" si="6"/>
        <v>0.70145114820870191</v>
      </c>
      <c r="R21" s="225">
        <f t="shared" si="14"/>
        <v>0.47274925636900461</v>
      </c>
      <c r="S21" s="228">
        <f t="shared" si="7"/>
        <v>-2038.4415868911567</v>
      </c>
      <c r="U21" s="86">
        <f t="shared" si="8"/>
        <v>7.2991174401308409E-2</v>
      </c>
    </row>
    <row r="22" spans="1:21" x14ac:dyDescent="0.25">
      <c r="A22" s="194">
        <f t="shared" si="9"/>
        <v>70</v>
      </c>
      <c r="B22" s="169">
        <f>'Q1 (i) and (ii)'!H23</f>
        <v>65937.909823281676</v>
      </c>
      <c r="C22" s="165">
        <f>'Q1 (i) and (ii)'!I23</f>
        <v>1748.3237812307343</v>
      </c>
      <c r="D22" s="193">
        <f>'Q1 (i) and (ii)'!J23</f>
        <v>1925.8080467255561</v>
      </c>
      <c r="E22" s="252">
        <f t="shared" si="0"/>
        <v>2.6514698235299956E-2</v>
      </c>
      <c r="F22" s="252">
        <f t="shared" si="1"/>
        <v>2.9206386005969247E-2</v>
      </c>
      <c r="G22" s="205">
        <f t="shared" si="10"/>
        <v>76609.487755795693</v>
      </c>
      <c r="H22" s="206">
        <f t="shared" si="11"/>
        <v>5591.8164815781847</v>
      </c>
      <c r="I22" s="206"/>
      <c r="J22" s="206">
        <f t="shared" si="12"/>
        <v>-139.79541203945462</v>
      </c>
      <c r="K22" s="206"/>
      <c r="L22" s="206">
        <f t="shared" si="13"/>
        <v>-100</v>
      </c>
      <c r="M22" s="206">
        <f t="shared" si="2"/>
        <v>227.46089545539607</v>
      </c>
      <c r="N22" s="183">
        <f t="shared" si="3"/>
        <v>-8125.109799223319</v>
      </c>
      <c r="O22" s="183">
        <f t="shared" si="4"/>
        <v>-5155.8507192850593</v>
      </c>
      <c r="P22" s="227">
        <f t="shared" si="5"/>
        <v>-7701.4785535142519</v>
      </c>
      <c r="Q22" s="224">
        <f t="shared" si="6"/>
        <v>0.66640723228469523</v>
      </c>
      <c r="R22" s="225">
        <f t="shared" si="14"/>
        <v>0.45347650491031616</v>
      </c>
      <c r="S22" s="228">
        <f t="shared" si="7"/>
        <v>-2327.386992489679</v>
      </c>
      <c r="U22" s="86">
        <f t="shared" si="8"/>
        <v>7.2991174401308409E-2</v>
      </c>
    </row>
    <row r="23" spans="1:21" x14ac:dyDescent="0.25">
      <c r="A23" s="195">
        <f t="shared" si="9"/>
        <v>71</v>
      </c>
      <c r="B23" s="170">
        <f>'Q1 (i) and (ii)'!H24</f>
        <v>62263.777995325385</v>
      </c>
      <c r="C23" s="171">
        <f>'Q1 (i) and (ii)'!I24</f>
        <v>1838.619353407571</v>
      </c>
      <c r="D23" s="196">
        <f>'Q1 (i) and (ii)'!J24</f>
        <v>2025.6019870543571</v>
      </c>
      <c r="E23" s="253">
        <f t="shared" si="0"/>
        <v>2.9529518005566739E-2</v>
      </c>
      <c r="F23" s="253">
        <f t="shared" si="1"/>
        <v>3.2532590412461551E-2</v>
      </c>
      <c r="G23" s="207">
        <f t="shared" si="10"/>
        <v>78907.772388469573</v>
      </c>
      <c r="H23" s="208">
        <f t="shared" si="11"/>
        <v>5759.5709760255304</v>
      </c>
      <c r="I23" s="208"/>
      <c r="J23" s="208">
        <f t="shared" si="12"/>
        <v>-143.98927440063827</v>
      </c>
      <c r="K23" s="208"/>
      <c r="L23" s="208">
        <f t="shared" si="13"/>
        <v>-100</v>
      </c>
      <c r="M23" s="208">
        <f t="shared" si="2"/>
        <v>234.41222231905792</v>
      </c>
      <c r="N23" s="186">
        <f t="shared" si="3"/>
        <v>-9320.4339420978977</v>
      </c>
      <c r="O23" s="186">
        <f t="shared" si="4"/>
        <v>-5915.3219105347371</v>
      </c>
      <c r="P23" s="229">
        <f t="shared" si="5"/>
        <v>-9485.7619286886838</v>
      </c>
      <c r="Q23" s="230">
        <f t="shared" si="6"/>
        <v>0.62927429875556873</v>
      </c>
      <c r="R23" s="231">
        <f t="shared" si="14"/>
        <v>0.43498945315138243</v>
      </c>
      <c r="S23" s="232">
        <f t="shared" si="7"/>
        <v>-2596.5156351582632</v>
      </c>
      <c r="U23" s="86">
        <f t="shared" si="8"/>
        <v>7.2991174401308409E-2</v>
      </c>
    </row>
    <row r="24" spans="1:21" x14ac:dyDescent="0.25">
      <c r="I24" s="25"/>
      <c r="J24" s="25"/>
      <c r="K24" s="25"/>
      <c r="L24" s="25"/>
      <c r="P24" s="233"/>
      <c r="Q24" s="233"/>
      <c r="R24" s="233"/>
      <c r="S24" s="233"/>
    </row>
    <row r="25" spans="1:21" x14ac:dyDescent="0.25">
      <c r="I25" s="25"/>
      <c r="J25" s="25"/>
      <c r="K25" s="25"/>
      <c r="L25" s="25"/>
      <c r="P25" s="233"/>
      <c r="Q25" s="233"/>
      <c r="R25" s="233" t="s">
        <v>83</v>
      </c>
      <c r="S25" s="234">
        <f>SUM(S4:S23)</f>
        <v>4.2496594687690958E-8</v>
      </c>
    </row>
    <row r="26" spans="1:21" ht="45" x14ac:dyDescent="0.25">
      <c r="E26" s="88"/>
      <c r="F26" s="89" t="s">
        <v>66</v>
      </c>
      <c r="G26" s="90">
        <v>45000</v>
      </c>
      <c r="I26" s="91" t="s">
        <v>24</v>
      </c>
      <c r="J26" s="92">
        <v>0.3</v>
      </c>
      <c r="K26" s="91" t="s">
        <v>28</v>
      </c>
      <c r="L26" s="93">
        <v>400</v>
      </c>
      <c r="M26" s="89" t="s">
        <v>67</v>
      </c>
      <c r="N26" s="94">
        <v>4</v>
      </c>
      <c r="P26" s="233"/>
      <c r="Q26" s="233"/>
      <c r="R26" s="235" t="s">
        <v>84</v>
      </c>
      <c r="S26" s="236">
        <v>3284.6028480588784</v>
      </c>
      <c r="T26" t="s">
        <v>85</v>
      </c>
    </row>
    <row r="27" spans="1:21" ht="45" x14ac:dyDescent="0.25">
      <c r="E27" s="88"/>
      <c r="F27" s="95" t="s">
        <v>15</v>
      </c>
      <c r="G27" s="96">
        <v>0.03</v>
      </c>
      <c r="I27" s="97" t="s">
        <v>26</v>
      </c>
      <c r="J27" s="98">
        <v>2.5000000000000001E-2</v>
      </c>
      <c r="K27" s="97" t="s">
        <v>30</v>
      </c>
      <c r="L27" s="99">
        <v>100</v>
      </c>
      <c r="M27" s="95" t="s">
        <v>68</v>
      </c>
      <c r="N27" s="96">
        <v>0.5</v>
      </c>
      <c r="P27" s="233"/>
      <c r="Q27" s="233"/>
      <c r="R27" s="235" t="s">
        <v>86</v>
      </c>
      <c r="S27" s="237">
        <f>S26/G4</f>
        <v>7.2991174401308409E-2</v>
      </c>
      <c r="T27" s="31" t="s">
        <v>47</v>
      </c>
    </row>
    <row r="28" spans="1:21" ht="45" x14ac:dyDescent="0.25">
      <c r="E28" s="88"/>
      <c r="F28" s="100" t="s">
        <v>87</v>
      </c>
      <c r="G28" s="101">
        <v>4.2500000000000003E-2</v>
      </c>
      <c r="I28" s="82"/>
      <c r="J28" s="81"/>
      <c r="K28" s="82"/>
      <c r="L28" s="102"/>
      <c r="M28" s="95" t="s">
        <v>70</v>
      </c>
      <c r="N28" s="103">
        <v>5</v>
      </c>
    </row>
    <row r="29" spans="1:21" x14ac:dyDescent="0.25">
      <c r="M29" s="255" t="s">
        <v>88</v>
      </c>
      <c r="N29" s="256">
        <f>(1-(1+$G$28)^-$N$28)*(1+$G$28)/$G$28</f>
        <v>4.6086099260979756</v>
      </c>
      <c r="O29" s="31" t="s">
        <v>47</v>
      </c>
    </row>
  </sheetData>
  <mergeCells count="1">
    <mergeCell ref="A2:D2"/>
  </mergeCells>
  <printOptions gridLines="1"/>
  <pageMargins left="0.7" right="0.7" top="0.75" bottom="0.75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8"/>
  <sheetViews>
    <sheetView zoomScale="90" workbookViewId="0"/>
  </sheetViews>
  <sheetFormatPr defaultRowHeight="15" x14ac:dyDescent="0.25"/>
  <cols>
    <col min="1" max="1" width="13.42578125" style="25" customWidth="1"/>
    <col min="2" max="2" width="13.140625" style="25" customWidth="1"/>
    <col min="3" max="3" width="13.28515625" style="25" customWidth="1"/>
    <col min="4" max="4" width="14.85546875" style="25" customWidth="1"/>
    <col min="5" max="5" width="15.85546875" customWidth="1"/>
    <col min="6" max="6" width="17.7109375" style="25" customWidth="1"/>
    <col min="7" max="7" width="15.42578125" customWidth="1"/>
    <col min="8" max="8" width="17.42578125" style="25" customWidth="1"/>
    <col min="9" max="9" width="20" style="25" bestFit="1" customWidth="1"/>
    <col min="10" max="10" width="14.140625" style="25" customWidth="1"/>
    <col min="11" max="11" width="17.85546875" style="25" bestFit="1" customWidth="1"/>
    <col min="12" max="12" width="14.85546875" style="25" customWidth="1"/>
    <col min="13" max="13" width="31.28515625" style="25" customWidth="1"/>
    <col min="14" max="14" width="27.140625" style="25" customWidth="1"/>
    <col min="15" max="15" width="31.7109375" style="25" customWidth="1"/>
    <col min="16" max="16" width="21.42578125" style="25" customWidth="1"/>
    <col min="17" max="24" width="23.42578125" style="25" customWidth="1"/>
    <col min="27" max="27" width="40.140625" customWidth="1"/>
    <col min="28" max="28" width="17.5703125" bestFit="1" customWidth="1"/>
  </cols>
  <sheetData>
    <row r="1" spans="1:28" ht="15.75" thickBot="1" x14ac:dyDescent="0.3">
      <c r="A1" s="209"/>
      <c r="B1" s="209"/>
      <c r="C1" s="209"/>
      <c r="D1" s="209"/>
      <c r="E1" s="164"/>
      <c r="F1" s="166"/>
      <c r="G1" s="203"/>
      <c r="H1" s="206"/>
      <c r="I1" s="215"/>
      <c r="J1" s="215"/>
      <c r="K1" s="215"/>
      <c r="L1" s="215"/>
      <c r="M1" s="257"/>
      <c r="N1" s="257"/>
      <c r="O1" s="258"/>
      <c r="P1" s="259"/>
      <c r="Q1" s="248"/>
      <c r="R1" s="248"/>
      <c r="S1" s="233"/>
      <c r="T1" s="233"/>
      <c r="U1" s="233"/>
      <c r="V1" s="233"/>
      <c r="W1" s="233"/>
      <c r="X1" s="233"/>
      <c r="Y1" s="233"/>
      <c r="Z1" s="172"/>
      <c r="AA1" s="233"/>
      <c r="AB1" s="233"/>
    </row>
    <row r="2" spans="1:28" ht="15.75" thickBot="1" x14ac:dyDescent="0.3">
      <c r="A2" s="375" t="s">
        <v>34</v>
      </c>
      <c r="B2" s="376"/>
      <c r="C2" s="376"/>
      <c r="D2" s="377"/>
      <c r="E2" s="167" t="s">
        <v>34</v>
      </c>
      <c r="F2" s="167" t="s">
        <v>34</v>
      </c>
      <c r="G2" s="197" t="s">
        <v>34</v>
      </c>
      <c r="H2" s="197" t="s">
        <v>34</v>
      </c>
      <c r="I2" s="197" t="s">
        <v>34</v>
      </c>
      <c r="J2" s="197" t="s">
        <v>34</v>
      </c>
      <c r="K2" s="197" t="s">
        <v>34</v>
      </c>
      <c r="L2" s="197" t="s">
        <v>34</v>
      </c>
      <c r="M2" s="181" t="s">
        <v>34</v>
      </c>
      <c r="N2" s="181" t="s">
        <v>47</v>
      </c>
      <c r="O2" s="181" t="s">
        <v>47</v>
      </c>
      <c r="P2" s="181" t="s">
        <v>34</v>
      </c>
      <c r="Q2" s="197" t="s">
        <v>34</v>
      </c>
      <c r="R2" s="197" t="s">
        <v>34</v>
      </c>
      <c r="S2" s="172" t="s">
        <v>34</v>
      </c>
      <c r="T2" s="172" t="s">
        <v>34</v>
      </c>
      <c r="U2" s="172" t="s">
        <v>34</v>
      </c>
      <c r="V2" s="172" t="s">
        <v>34</v>
      </c>
      <c r="W2" s="238" t="s">
        <v>34</v>
      </c>
      <c r="X2" s="172" t="s">
        <v>34</v>
      </c>
      <c r="Y2" s="233"/>
      <c r="Z2" s="233"/>
      <c r="AA2" s="233"/>
      <c r="AB2" s="233"/>
    </row>
    <row r="3" spans="1:28" s="85" customFormat="1" ht="47.25" thickBot="1" x14ac:dyDescent="0.4">
      <c r="A3" s="188" t="s">
        <v>36</v>
      </c>
      <c r="B3" s="189" t="s">
        <v>43</v>
      </c>
      <c r="C3" s="190" t="s">
        <v>50</v>
      </c>
      <c r="D3" s="191" t="s">
        <v>51</v>
      </c>
      <c r="E3" s="168" t="s">
        <v>234</v>
      </c>
      <c r="F3" s="168" t="s">
        <v>235</v>
      </c>
      <c r="G3" s="216" t="s">
        <v>52</v>
      </c>
      <c r="H3" s="200" t="s">
        <v>58</v>
      </c>
      <c r="I3" s="200" t="s">
        <v>24</v>
      </c>
      <c r="J3" s="200" t="s">
        <v>26</v>
      </c>
      <c r="K3" s="200" t="s">
        <v>28</v>
      </c>
      <c r="L3" s="200" t="s">
        <v>30</v>
      </c>
      <c r="M3" s="182" t="s">
        <v>53</v>
      </c>
      <c r="N3" s="182" t="s">
        <v>54</v>
      </c>
      <c r="O3" s="182" t="s">
        <v>55</v>
      </c>
      <c r="P3" s="182" t="s">
        <v>56</v>
      </c>
      <c r="Q3" s="200" t="s">
        <v>57</v>
      </c>
      <c r="R3" s="262" t="s">
        <v>236</v>
      </c>
      <c r="S3" s="239" t="s">
        <v>60</v>
      </c>
      <c r="T3" s="240" t="s">
        <v>61</v>
      </c>
      <c r="U3" s="240" t="s">
        <v>62</v>
      </c>
      <c r="V3" s="240" t="s">
        <v>49</v>
      </c>
      <c r="W3" s="241" t="s">
        <v>59</v>
      </c>
      <c r="X3" s="242" t="s">
        <v>80</v>
      </c>
      <c r="Y3" s="243"/>
      <c r="Z3" s="243"/>
      <c r="AA3" s="243"/>
      <c r="AB3" s="243"/>
    </row>
    <row r="4" spans="1:28" x14ac:dyDescent="0.25">
      <c r="A4" s="192">
        <v>52</v>
      </c>
      <c r="B4" s="169">
        <f>'Q1 (i) and (ii)'!H5</f>
        <v>98945.369481092901</v>
      </c>
      <c r="C4" s="165">
        <f>'Q1 (i) and (ii)'!I5</f>
        <v>302.76418661090952</v>
      </c>
      <c r="D4" s="193">
        <f>'Q1 (i) and (ii)'!J5</f>
        <v>333.09198421465078</v>
      </c>
      <c r="E4" s="210">
        <f t="shared" ref="E4:F23" si="0">C4/$B$4</f>
        <v>3.0599126386481744E-3</v>
      </c>
      <c r="F4" s="210">
        <f t="shared" si="0"/>
        <v>3.3664231682746918E-3</v>
      </c>
      <c r="G4" s="217">
        <f>G26</f>
        <v>45000</v>
      </c>
      <c r="H4" s="204">
        <f>$AA$11*G4</f>
        <v>3284.6028480560312</v>
      </c>
      <c r="I4" s="204">
        <f>J26*H4</f>
        <v>985.38085441680937</v>
      </c>
      <c r="J4" s="204">
        <v>0</v>
      </c>
      <c r="K4" s="204">
        <f>L26</f>
        <v>400</v>
      </c>
      <c r="L4" s="204">
        <v>0</v>
      </c>
      <c r="M4" s="254">
        <f t="shared" ref="M4:M23" si="1">$O$26*G4*E4</f>
        <v>550.78427495667142</v>
      </c>
      <c r="N4" s="184">
        <f t="shared" ref="N4:N23" si="2">(1-(1+$G$28)^-$O$28)*(1+$G$28)/$G$28</f>
        <v>4.6086099260979756</v>
      </c>
      <c r="O4" s="254">
        <f t="shared" ref="O4:O23" si="3">$O$27*G4*F4*N4</f>
        <v>349.07695264703119</v>
      </c>
      <c r="P4" s="260">
        <f t="shared" ref="P4:P23" si="4">(1+$G$28)^-(A4-$A$4+1)</f>
        <v>0.95923261390887293</v>
      </c>
      <c r="Q4" s="249">
        <f t="shared" ref="Q4:Q23" si="5">(1+$G$28)^-(A4-$A$4)</f>
        <v>1</v>
      </c>
      <c r="R4" s="263">
        <f t="shared" ref="R4:R23" si="6">B4/$B$4</f>
        <v>1</v>
      </c>
      <c r="S4" s="175">
        <f>H4*Q4*R4</f>
        <v>3284.6028480560312</v>
      </c>
      <c r="T4" s="176">
        <f>SUM(K4:L4)*Q4*R4</f>
        <v>400</v>
      </c>
      <c r="U4" s="176">
        <f>SUM(I4:J4)*Q4*R4</f>
        <v>985.38085441680937</v>
      </c>
      <c r="V4" s="176">
        <f>M4*P4</f>
        <v>528.33023976659126</v>
      </c>
      <c r="W4" s="177">
        <f>O4*P4</f>
        <v>334.8459977429556</v>
      </c>
      <c r="X4" s="223">
        <f>S4-T4-U4-V4-W4</f>
        <v>1036.0457561296748</v>
      </c>
      <c r="Y4" s="233"/>
      <c r="Z4" s="233"/>
      <c r="AA4" s="233"/>
      <c r="AB4" s="233"/>
    </row>
    <row r="5" spans="1:28" x14ac:dyDescent="0.25">
      <c r="A5" s="194">
        <f t="shared" ref="A5:A23" si="7">A4+1</f>
        <v>53</v>
      </c>
      <c r="B5" s="169">
        <f>'Q1 (i) and (ii)'!H6</f>
        <v>98309.513310267343</v>
      </c>
      <c r="C5" s="165">
        <f>'Q1 (i) and (ii)'!I6</f>
        <v>342.61296398347781</v>
      </c>
      <c r="D5" s="193">
        <f>'Q1 (i) and (ii)'!J6</f>
        <v>376.9397737573554</v>
      </c>
      <c r="E5" s="211">
        <f t="shared" si="0"/>
        <v>3.4626477800858224E-3</v>
      </c>
      <c r="F5" s="211">
        <f t="shared" si="0"/>
        <v>3.809574674733853E-3</v>
      </c>
      <c r="G5" s="218">
        <f t="shared" ref="G5:G23" si="8">G4*(1+$G$27)</f>
        <v>46350</v>
      </c>
      <c r="H5" s="206">
        <f t="shared" ref="H5:H23" si="9">$AA$11*G5</f>
        <v>3383.1409334977125</v>
      </c>
      <c r="I5" s="206"/>
      <c r="J5" s="206">
        <f t="shared" ref="J5:J23" si="10">$J$27*H5</f>
        <v>84.578523337442817</v>
      </c>
      <c r="K5" s="206"/>
      <c r="L5" s="206">
        <f>$L$27</f>
        <v>100</v>
      </c>
      <c r="M5" s="183">
        <f t="shared" si="1"/>
        <v>641.97489842791151</v>
      </c>
      <c r="N5" s="185">
        <f t="shared" si="2"/>
        <v>4.6086099260979756</v>
      </c>
      <c r="O5" s="183">
        <f t="shared" si="3"/>
        <v>406.87985182490098</v>
      </c>
      <c r="P5" s="259">
        <f t="shared" si="4"/>
        <v>0.92012720758644884</v>
      </c>
      <c r="Q5" s="248">
        <f t="shared" si="5"/>
        <v>0.95923261390887293</v>
      </c>
      <c r="R5" s="263">
        <f t="shared" si="6"/>
        <v>0.99357366419307713</v>
      </c>
      <c r="S5" s="175">
        <f t="shared" ref="S5:S23" si="11">H5*Q5*R5</f>
        <v>3224.3642530234147</v>
      </c>
      <c r="T5" s="176">
        <f t="shared" ref="T5:T23" si="12">SUM(K5:L5)*Q5*R5</f>
        <v>95.306826301494212</v>
      </c>
      <c r="U5" s="176">
        <f t="shared" ref="U5:U23" si="13">SUM(I5:J5)*Q5*R5</f>
        <v>80.609106325585358</v>
      </c>
      <c r="V5" s="176">
        <f t="shared" ref="V5:V23" si="14">M5*P5</f>
        <v>590.69857063106838</v>
      </c>
      <c r="W5" s="177">
        <f t="shared" ref="W5:W23" si="15">O5*P5</f>
        <v>374.38122188283421</v>
      </c>
      <c r="X5" s="227">
        <f t="shared" ref="X5:X23" si="16">S5-T5-U5-V5-W5</f>
        <v>2083.3685278824323</v>
      </c>
      <c r="Y5" s="233"/>
      <c r="Z5" s="233"/>
      <c r="AA5" s="233"/>
      <c r="AB5" s="233"/>
    </row>
    <row r="6" spans="1:28" x14ac:dyDescent="0.25">
      <c r="A6" s="194">
        <f t="shared" si="7"/>
        <v>54</v>
      </c>
      <c r="B6" s="169">
        <f>'Q1 (i) and (ii)'!H7</f>
        <v>97589.960572526499</v>
      </c>
      <c r="C6" s="165">
        <f>'Q1 (i) and (ii)'!I7</f>
        <v>386.93008893166297</v>
      </c>
      <c r="D6" s="193">
        <f>'Q1 (i) and (ii)'!J7</f>
        <v>425.70757248232587</v>
      </c>
      <c r="E6" s="211">
        <f t="shared" si="0"/>
        <v>3.9105426657242408E-3</v>
      </c>
      <c r="F6" s="211">
        <f t="shared" si="0"/>
        <v>4.3024506827848341E-3</v>
      </c>
      <c r="G6" s="218">
        <f t="shared" si="8"/>
        <v>47740.5</v>
      </c>
      <c r="H6" s="206">
        <f t="shared" si="9"/>
        <v>3484.6351615026438</v>
      </c>
      <c r="I6" s="206"/>
      <c r="J6" s="206">
        <f t="shared" si="10"/>
        <v>87.115879037566103</v>
      </c>
      <c r="K6" s="206"/>
      <c r="L6" s="206">
        <f>$L$27</f>
        <v>100</v>
      </c>
      <c r="M6" s="183">
        <f t="shared" si="1"/>
        <v>746.76504853203244</v>
      </c>
      <c r="N6" s="185">
        <f t="shared" si="2"/>
        <v>4.6086099260979756</v>
      </c>
      <c r="O6" s="183">
        <f t="shared" si="3"/>
        <v>473.30688203671178</v>
      </c>
      <c r="P6" s="259">
        <f t="shared" si="4"/>
        <v>0.88261602646182147</v>
      </c>
      <c r="Q6" s="248">
        <f t="shared" si="5"/>
        <v>0.92012720758644884</v>
      </c>
      <c r="R6" s="263">
        <f t="shared" si="6"/>
        <v>0.9863014417382574</v>
      </c>
      <c r="S6" s="175">
        <f t="shared" si="11"/>
        <v>3162.3858288649731</v>
      </c>
      <c r="T6" s="176">
        <f t="shared" si="12"/>
        <v>90.752279142511142</v>
      </c>
      <c r="U6" s="176">
        <f t="shared" si="13"/>
        <v>79.059645721624335</v>
      </c>
      <c r="V6" s="176">
        <f t="shared" si="14"/>
        <v>659.10679983591172</v>
      </c>
      <c r="W6" s="177">
        <f t="shared" si="15"/>
        <v>417.74823952027663</v>
      </c>
      <c r="X6" s="227">
        <f t="shared" si="16"/>
        <v>1915.7188646446491</v>
      </c>
      <c r="Y6" s="233"/>
      <c r="Z6" s="233"/>
      <c r="AA6" s="233"/>
      <c r="AB6" s="233"/>
    </row>
    <row r="7" spans="1:28" ht="15.75" thickBot="1" x14ac:dyDescent="0.3">
      <c r="A7" s="194">
        <f t="shared" si="7"/>
        <v>55</v>
      </c>
      <c r="B7" s="169">
        <f>'Q1 (i) and (ii)'!H8</f>
        <v>96777.322911112511</v>
      </c>
      <c r="C7" s="165">
        <f>'Q1 (i) and (ii)'!I8</f>
        <v>436.06380890475685</v>
      </c>
      <c r="D7" s="193">
        <f>'Q1 (i) and (ii)'!J8</f>
        <v>479.77925774279498</v>
      </c>
      <c r="E7" s="211">
        <f>C7/$B$4</f>
        <v>4.407116888760344E-3</v>
      </c>
      <c r="F7" s="211">
        <f t="shared" si="0"/>
        <v>4.8489308823539664E-3</v>
      </c>
      <c r="G7" s="218">
        <f t="shared" si="8"/>
        <v>49172.715000000004</v>
      </c>
      <c r="H7" s="206">
        <f t="shared" si="9"/>
        <v>3589.1742163477234</v>
      </c>
      <c r="I7" s="206"/>
      <c r="J7" s="206">
        <f t="shared" si="10"/>
        <v>89.729355408693095</v>
      </c>
      <c r="K7" s="206"/>
      <c r="L7" s="206">
        <f t="shared" ref="L7:L23" si="17">$L$27</f>
        <v>100</v>
      </c>
      <c r="M7" s="183">
        <f t="shared" si="1"/>
        <v>866.83961097079646</v>
      </c>
      <c r="N7" s="185">
        <f t="shared" si="2"/>
        <v>4.6086099260979756</v>
      </c>
      <c r="O7" s="183">
        <f t="shared" si="3"/>
        <v>549.42717584448144</v>
      </c>
      <c r="P7" s="259">
        <f t="shared" si="4"/>
        <v>0.84663407814083602</v>
      </c>
      <c r="Q7" s="248">
        <f t="shared" si="5"/>
        <v>0.88261602646182147</v>
      </c>
      <c r="R7" s="263">
        <f t="shared" si="6"/>
        <v>0.97808844838974829</v>
      </c>
      <c r="S7" s="175">
        <f t="shared" si="11"/>
        <v>3098.4498983930262</v>
      </c>
      <c r="T7" s="176">
        <f t="shared" si="12"/>
        <v>86.327653984596793</v>
      </c>
      <c r="U7" s="176">
        <f t="shared" si="13"/>
        <v>77.461247459825657</v>
      </c>
      <c r="V7" s="176">
        <f t="shared" si="14"/>
        <v>733.89595493022114</v>
      </c>
      <c r="W7" s="177">
        <f t="shared" si="15"/>
        <v>465.16377052661556</v>
      </c>
      <c r="X7" s="227">
        <f t="shared" si="16"/>
        <v>1735.6012714917667</v>
      </c>
      <c r="Y7" s="233"/>
      <c r="Z7" s="233"/>
      <c r="AA7" s="244"/>
      <c r="AB7" s="233"/>
    </row>
    <row r="8" spans="1:28" x14ac:dyDescent="0.25">
      <c r="A8" s="194">
        <f t="shared" si="7"/>
        <v>56</v>
      </c>
      <c r="B8" s="169">
        <f>'Q1 (i) and (ii)'!H9</f>
        <v>95861.479844464964</v>
      </c>
      <c r="C8" s="165">
        <f>'Q1 (i) and (ii)'!I9</f>
        <v>490.38746323081529</v>
      </c>
      <c r="D8" s="193">
        <f>'Q1 (i) and (ii)'!J9</f>
        <v>539.56559956814112</v>
      </c>
      <c r="E8" s="211">
        <f t="shared" si="0"/>
        <v>4.9561436356505961E-3</v>
      </c>
      <c r="F8" s="211">
        <f t="shared" si="0"/>
        <v>5.4531667565428082E-3</v>
      </c>
      <c r="G8" s="218">
        <f t="shared" si="8"/>
        <v>50647.896450000007</v>
      </c>
      <c r="H8" s="206">
        <f t="shared" si="9"/>
        <v>3696.849442838155</v>
      </c>
      <c r="I8" s="206"/>
      <c r="J8" s="206">
        <f t="shared" si="10"/>
        <v>92.421236070953881</v>
      </c>
      <c r="K8" s="206"/>
      <c r="L8" s="206">
        <f t="shared" si="17"/>
        <v>100</v>
      </c>
      <c r="M8" s="183">
        <f t="shared" si="1"/>
        <v>1004.0729985990318</v>
      </c>
      <c r="N8" s="185">
        <f t="shared" si="2"/>
        <v>4.6086099260979756</v>
      </c>
      <c r="O8" s="183">
        <f t="shared" si="3"/>
        <v>636.42927186289012</v>
      </c>
      <c r="P8" s="259">
        <f t="shared" si="4"/>
        <v>0.81211901979936307</v>
      </c>
      <c r="Q8" s="248">
        <f t="shared" si="5"/>
        <v>0.84663407814083602</v>
      </c>
      <c r="R8" s="263">
        <f t="shared" si="6"/>
        <v>0.96883240061863407</v>
      </c>
      <c r="S8" s="175">
        <f t="shared" si="11"/>
        <v>3032.327914003567</v>
      </c>
      <c r="T8" s="176">
        <f t="shared" si="12"/>
        <v>82.024652637073032</v>
      </c>
      <c r="U8" s="176">
        <f t="shared" si="13"/>
        <v>75.808197850089172</v>
      </c>
      <c r="V8" s="176">
        <f t="shared" si="14"/>
        <v>815.42677942925297</v>
      </c>
      <c r="W8" s="177">
        <f t="shared" si="15"/>
        <v>516.85631643691272</v>
      </c>
      <c r="X8" s="227">
        <f t="shared" si="16"/>
        <v>1542.2119676502396</v>
      </c>
      <c r="Y8" s="233"/>
      <c r="Z8" s="233"/>
      <c r="AA8" s="245" t="s">
        <v>63</v>
      </c>
      <c r="AB8" s="172"/>
    </row>
    <row r="9" spans="1:28" ht="15.75" thickBot="1" x14ac:dyDescent="0.3">
      <c r="A9" s="194">
        <f t="shared" si="7"/>
        <v>57</v>
      </c>
      <c r="B9" s="169">
        <f>'Q1 (i) and (ii)'!H10</f>
        <v>94831.526781666005</v>
      </c>
      <c r="C9" s="165">
        <f>'Q1 (i) and (ii)'!I10</f>
        <v>550.0696995147473</v>
      </c>
      <c r="D9" s="193">
        <f>'Q1 (i) and (ii)'!J10</f>
        <v>605.25440627360524</v>
      </c>
      <c r="E9" s="211">
        <f t="shared" si="0"/>
        <v>5.5593273581120749E-3</v>
      </c>
      <c r="F9" s="211">
        <f t="shared" si="0"/>
        <v>6.1170564064573132E-3</v>
      </c>
      <c r="G9" s="218">
        <f t="shared" si="8"/>
        <v>52167.33334350001</v>
      </c>
      <c r="H9" s="206">
        <f t="shared" si="9"/>
        <v>3807.7549261232998</v>
      </c>
      <c r="I9" s="206"/>
      <c r="J9" s="206">
        <f t="shared" si="10"/>
        <v>95.193873153082507</v>
      </c>
      <c r="K9" s="206"/>
      <c r="L9" s="206">
        <f t="shared" si="17"/>
        <v>100</v>
      </c>
      <c r="M9" s="183">
        <f t="shared" si="1"/>
        <v>1160.0611338250874</v>
      </c>
      <c r="N9" s="185">
        <f t="shared" si="2"/>
        <v>4.6086099260979756</v>
      </c>
      <c r="O9" s="183">
        <f t="shared" si="3"/>
        <v>735.32795646418128</v>
      </c>
      <c r="P9" s="259">
        <f t="shared" si="4"/>
        <v>0.7790110501672548</v>
      </c>
      <c r="Q9" s="248">
        <f t="shared" si="5"/>
        <v>0.81211901979936307</v>
      </c>
      <c r="R9" s="263">
        <f t="shared" si="6"/>
        <v>0.95842309022644057</v>
      </c>
      <c r="S9" s="175">
        <f t="shared" si="11"/>
        <v>2963.7798330590003</v>
      </c>
      <c r="T9" s="176">
        <f t="shared" si="12"/>
        <v>77.835362058777335</v>
      </c>
      <c r="U9" s="176">
        <f t="shared" si="13"/>
        <v>74.094495826475011</v>
      </c>
      <c r="V9" s="176">
        <f t="shared" si="14"/>
        <v>903.70044211929769</v>
      </c>
      <c r="W9" s="177">
        <f t="shared" si="15"/>
        <v>572.82860358250332</v>
      </c>
      <c r="X9" s="227">
        <f t="shared" si="16"/>
        <v>1335.320929471947</v>
      </c>
      <c r="Y9" s="233"/>
      <c r="Z9" s="233"/>
      <c r="AA9" s="229">
        <f>S24-T24-U24-V24-W24</f>
        <v>0</v>
      </c>
      <c r="AB9" s="233"/>
    </row>
    <row r="10" spans="1:28" x14ac:dyDescent="0.25">
      <c r="A10" s="194">
        <f t="shared" si="7"/>
        <v>58</v>
      </c>
      <c r="B10" s="169">
        <f>'Q1 (i) and (ii)'!H11</f>
        <v>93676.202675877648</v>
      </c>
      <c r="C10" s="165">
        <f>'Q1 (i) and (ii)'!I11</f>
        <v>615.37485919458811</v>
      </c>
      <c r="D10" s="193">
        <f>'Q1 (i) and (ii)'!J11</f>
        <v>677.13701200611172</v>
      </c>
      <c r="E10" s="211">
        <f t="shared" si="0"/>
        <v>6.2193396459263089E-3</v>
      </c>
      <c r="F10" s="211">
        <f t="shared" si="0"/>
        <v>6.8435442260438807E-3</v>
      </c>
      <c r="G10" s="218">
        <f t="shared" si="8"/>
        <v>53732.353343805014</v>
      </c>
      <c r="H10" s="206">
        <f t="shared" si="9"/>
        <v>3921.9875739069994</v>
      </c>
      <c r="I10" s="206"/>
      <c r="J10" s="206">
        <f t="shared" si="10"/>
        <v>98.049689347674985</v>
      </c>
      <c r="K10" s="206"/>
      <c r="L10" s="206">
        <f t="shared" si="17"/>
        <v>100</v>
      </c>
      <c r="M10" s="183">
        <f t="shared" si="1"/>
        <v>1336.7190216801905</v>
      </c>
      <c r="N10" s="185">
        <f t="shared" si="2"/>
        <v>4.6086099260979756</v>
      </c>
      <c r="O10" s="183">
        <f t="shared" si="3"/>
        <v>847.33841377673707</v>
      </c>
      <c r="P10" s="259">
        <f t="shared" si="4"/>
        <v>0.74725280591583187</v>
      </c>
      <c r="Q10" s="248">
        <f t="shared" si="5"/>
        <v>0.7790110501672548</v>
      </c>
      <c r="R10" s="263">
        <f t="shared" si="6"/>
        <v>0.9467467064618712</v>
      </c>
      <c r="S10" s="175">
        <f t="shared" si="11"/>
        <v>2892.5683802131534</v>
      </c>
      <c r="T10" s="176">
        <f t="shared" si="12"/>
        <v>73.752614604325203</v>
      </c>
      <c r="U10" s="176">
        <f t="shared" si="13"/>
        <v>72.314209505328833</v>
      </c>
      <c r="V10" s="176">
        <f t="shared" si="14"/>
        <v>998.86703967158803</v>
      </c>
      <c r="W10" s="177">
        <f t="shared" si="15"/>
        <v>633.17600725493696</v>
      </c>
      <c r="X10" s="227">
        <f t="shared" si="16"/>
        <v>1114.4585091769745</v>
      </c>
      <c r="Y10" s="233"/>
      <c r="Z10" s="233"/>
      <c r="AA10" s="246" t="s">
        <v>64</v>
      </c>
      <c r="AB10" s="233"/>
    </row>
    <row r="11" spans="1:28" ht="15.75" thickBot="1" x14ac:dyDescent="0.3">
      <c r="A11" s="194">
        <f t="shared" si="7"/>
        <v>59</v>
      </c>
      <c r="B11" s="169">
        <f>'Q1 (i) and (ii)'!H12</f>
        <v>92383.690804676939</v>
      </c>
      <c r="C11" s="165">
        <f>'Q1 (i) and (ii)'!I12</f>
        <v>686.52376911241845</v>
      </c>
      <c r="D11" s="193">
        <f>'Q1 (i) and (ii)'!J12</f>
        <v>755.46026459630411</v>
      </c>
      <c r="E11" s="211">
        <f t="shared" si="0"/>
        <v>6.9384123048184046E-3</v>
      </c>
      <c r="F11" s="211">
        <f t="shared" si="0"/>
        <v>7.6351250044163228E-3</v>
      </c>
      <c r="G11" s="218">
        <f t="shared" si="8"/>
        <v>55344.323944119169</v>
      </c>
      <c r="H11" s="206">
        <f t="shared" si="9"/>
        <v>4039.6472011242095</v>
      </c>
      <c r="I11" s="206"/>
      <c r="J11" s="206">
        <f t="shared" si="10"/>
        <v>100.99118002810525</v>
      </c>
      <c r="K11" s="206"/>
      <c r="L11" s="206">
        <f t="shared" si="17"/>
        <v>100</v>
      </c>
      <c r="M11" s="183">
        <f t="shared" si="1"/>
        <v>1536.0069530229291</v>
      </c>
      <c r="N11" s="185">
        <f t="shared" si="2"/>
        <v>4.6086099260979756</v>
      </c>
      <c r="O11" s="183">
        <f t="shared" si="3"/>
        <v>973.70902144198089</v>
      </c>
      <c r="P11" s="259">
        <f t="shared" si="4"/>
        <v>0.71678926226938311</v>
      </c>
      <c r="Q11" s="248">
        <f t="shared" si="5"/>
        <v>0.74725280591583187</v>
      </c>
      <c r="R11" s="263">
        <f t="shared" si="6"/>
        <v>0.9336838225899009</v>
      </c>
      <c r="S11" s="175">
        <f t="shared" si="11"/>
        <v>2818.453192305501</v>
      </c>
      <c r="T11" s="176">
        <f t="shared" si="12"/>
        <v>69.769785626852325</v>
      </c>
      <c r="U11" s="176">
        <f t="shared" si="13"/>
        <v>70.46132980763754</v>
      </c>
      <c r="V11" s="176">
        <f t="shared" si="14"/>
        <v>1100.9932906979484</v>
      </c>
      <c r="W11" s="177">
        <f t="shared" si="15"/>
        <v>697.94417114444047</v>
      </c>
      <c r="X11" s="227">
        <f t="shared" si="16"/>
        <v>879.2846150286224</v>
      </c>
      <c r="Y11" s="233"/>
      <c r="Z11" s="233"/>
      <c r="AA11" s="247">
        <v>7.299117440124514E-2</v>
      </c>
      <c r="AB11" s="172" t="s">
        <v>47</v>
      </c>
    </row>
    <row r="12" spans="1:28" x14ac:dyDescent="0.25">
      <c r="A12" s="194">
        <f t="shared" si="7"/>
        <v>60</v>
      </c>
      <c r="B12" s="169">
        <f>'Q1 (i) and (ii)'!H13</f>
        <v>90941.706770968216</v>
      </c>
      <c r="C12" s="165">
        <f>'Q1 (i) and (ii)'!I13</f>
        <v>763.46738423007082</v>
      </c>
      <c r="D12" s="193">
        <f>'Q1 (i) and (ii)'!J13</f>
        <v>840.17044781754555</v>
      </c>
      <c r="E12" s="211">
        <f t="shared" si="0"/>
        <v>7.7160496568357238E-3</v>
      </c>
      <c r="F12" s="211">
        <f t="shared" si="0"/>
        <v>8.4912558538486286E-3</v>
      </c>
      <c r="G12" s="218">
        <f t="shared" si="8"/>
        <v>57004.653662442746</v>
      </c>
      <c r="H12" s="206">
        <f t="shared" si="9"/>
        <v>4160.8366171579364</v>
      </c>
      <c r="I12" s="206"/>
      <c r="J12" s="206">
        <f t="shared" si="10"/>
        <v>104.02091542894841</v>
      </c>
      <c r="K12" s="206"/>
      <c r="L12" s="206">
        <f t="shared" si="17"/>
        <v>100</v>
      </c>
      <c r="M12" s="183">
        <f t="shared" si="1"/>
        <v>1759.4029533205226</v>
      </c>
      <c r="N12" s="185">
        <f t="shared" si="2"/>
        <v>4.6086099260979756</v>
      </c>
      <c r="O12" s="183">
        <f t="shared" si="3"/>
        <v>1115.3783069938611</v>
      </c>
      <c r="P12" s="259">
        <f t="shared" si="4"/>
        <v>0.68756763766847306</v>
      </c>
      <c r="Q12" s="248">
        <f t="shared" si="5"/>
        <v>0.71678926226938311</v>
      </c>
      <c r="R12" s="263">
        <f t="shared" si="6"/>
        <v>0.91911028528066618</v>
      </c>
      <c r="S12" s="175">
        <f t="shared" si="11"/>
        <v>2741.1940450522957</v>
      </c>
      <c r="T12" s="176">
        <f t="shared" si="12"/>
        <v>65.880838333053106</v>
      </c>
      <c r="U12" s="176">
        <f t="shared" si="13"/>
        <v>68.529851126307392</v>
      </c>
      <c r="V12" s="176">
        <f t="shared" si="14"/>
        <v>1209.7085323215265</v>
      </c>
      <c r="W12" s="177">
        <f t="shared" si="15"/>
        <v>766.89802764643002</v>
      </c>
      <c r="X12" s="227">
        <f t="shared" si="16"/>
        <v>630.17679562497904</v>
      </c>
      <c r="Y12" s="233"/>
      <c r="Z12" s="233"/>
      <c r="AA12" s="244" t="s">
        <v>65</v>
      </c>
      <c r="AB12" s="233"/>
    </row>
    <row r="13" spans="1:28" x14ac:dyDescent="0.25">
      <c r="A13" s="194">
        <f t="shared" si="7"/>
        <v>61</v>
      </c>
      <c r="B13" s="169">
        <f>'Q1 (i) and (ii)'!H14</f>
        <v>89338.068938920595</v>
      </c>
      <c r="C13" s="165">
        <f>'Q1 (i) and (ii)'!I14</f>
        <v>846.25842700134513</v>
      </c>
      <c r="D13" s="193">
        <f>'Q1 (i) and (ii)'!J14</f>
        <v>931.33113827262946</v>
      </c>
      <c r="E13" s="211">
        <f t="shared" si="0"/>
        <v>8.5527845460524905E-3</v>
      </c>
      <c r="F13" s="211">
        <f t="shared" si="0"/>
        <v>9.4125793168177915E-3</v>
      </c>
      <c r="G13" s="218">
        <f t="shared" si="8"/>
        <v>58714.793272316027</v>
      </c>
      <c r="H13" s="206">
        <f t="shared" si="9"/>
        <v>4285.6617156726743</v>
      </c>
      <c r="I13" s="206"/>
      <c r="J13" s="206">
        <f t="shared" si="10"/>
        <v>107.14154289181687</v>
      </c>
      <c r="K13" s="206"/>
      <c r="L13" s="206">
        <f t="shared" si="17"/>
        <v>100</v>
      </c>
      <c r="M13" s="183">
        <f t="shared" si="1"/>
        <v>2008.699906096525</v>
      </c>
      <c r="N13" s="185">
        <f t="shared" si="2"/>
        <v>4.6086099260979756</v>
      </c>
      <c r="O13" s="183">
        <f t="shared" si="3"/>
        <v>1273.4917628729318</v>
      </c>
      <c r="P13" s="259">
        <f t="shared" si="4"/>
        <v>0.65953730231987828</v>
      </c>
      <c r="Q13" s="248">
        <f t="shared" si="5"/>
        <v>0.68756763766847306</v>
      </c>
      <c r="R13" s="263">
        <f t="shared" si="6"/>
        <v>0.90290297976998179</v>
      </c>
      <c r="S13" s="175">
        <f t="shared" si="11"/>
        <v>2660.5682306325216</v>
      </c>
      <c r="T13" s="176">
        <f t="shared" si="12"/>
        <v>62.080686884427145</v>
      </c>
      <c r="U13" s="176">
        <f t="shared" si="13"/>
        <v>66.514205765813045</v>
      </c>
      <c r="V13" s="176">
        <f t="shared" si="14"/>
        <v>1324.8125172370949</v>
      </c>
      <c r="W13" s="177">
        <f t="shared" si="15"/>
        <v>839.91532181179957</v>
      </c>
      <c r="X13" s="227">
        <f t="shared" si="16"/>
        <v>367.24549893338701</v>
      </c>
      <c r="Y13" s="233"/>
      <c r="Z13" s="233"/>
      <c r="AA13" s="233"/>
      <c r="AB13" s="233"/>
    </row>
    <row r="14" spans="1:28" x14ac:dyDescent="0.25">
      <c r="A14" s="194">
        <f t="shared" si="7"/>
        <v>62</v>
      </c>
      <c r="B14" s="169">
        <f>'Q1 (i) and (ii)'!H15</f>
        <v>87560.479373646624</v>
      </c>
      <c r="C14" s="165">
        <f>'Q1 (i) and (ii)'!I15</f>
        <v>934.71208246344645</v>
      </c>
      <c r="D14" s="193">
        <f>'Q1 (i) and (ii)'!J15</f>
        <v>1028.7409137279503</v>
      </c>
      <c r="E14" s="211">
        <f t="shared" si="0"/>
        <v>9.4467491239401263E-3</v>
      </c>
      <c r="F14" s="211">
        <f t="shared" si="0"/>
        <v>1.0397059701965422E-2</v>
      </c>
      <c r="G14" s="218">
        <f t="shared" si="8"/>
        <v>60476.237070485506</v>
      </c>
      <c r="H14" s="206">
        <f t="shared" si="9"/>
        <v>4414.2315671428541</v>
      </c>
      <c r="I14" s="206"/>
      <c r="J14" s="206">
        <f t="shared" si="10"/>
        <v>110.35578917857136</v>
      </c>
      <c r="K14" s="206"/>
      <c r="L14" s="206">
        <f t="shared" si="17"/>
        <v>100</v>
      </c>
      <c r="M14" s="183">
        <f t="shared" si="1"/>
        <v>2285.2153582592173</v>
      </c>
      <c r="N14" s="185">
        <f t="shared" si="2"/>
        <v>4.6086099260979756</v>
      </c>
      <c r="O14" s="183">
        <f t="shared" si="3"/>
        <v>1448.8894623007823</v>
      </c>
      <c r="P14" s="259">
        <f t="shared" si="4"/>
        <v>0.63264969047470332</v>
      </c>
      <c r="Q14" s="248">
        <f t="shared" si="5"/>
        <v>0.65953730231987828</v>
      </c>
      <c r="R14" s="263">
        <f t="shared" si="6"/>
        <v>0.88493761590711151</v>
      </c>
      <c r="S14" s="175">
        <f t="shared" si="11"/>
        <v>2576.3634640011396</v>
      </c>
      <c r="T14" s="176">
        <f t="shared" si="12"/>
        <v>58.364936791676101</v>
      </c>
      <c r="U14" s="176">
        <f t="shared" si="13"/>
        <v>64.409086600028502</v>
      </c>
      <c r="V14" s="176">
        <f t="shared" si="14"/>
        <v>1445.740789070732</v>
      </c>
      <c r="W14" s="177">
        <f t="shared" si="15"/>
        <v>916.63946985664927</v>
      </c>
      <c r="X14" s="227">
        <f t="shared" si="16"/>
        <v>91.209181682054009</v>
      </c>
      <c r="Y14" s="233"/>
      <c r="Z14" s="233"/>
      <c r="AA14" s="233"/>
      <c r="AB14" s="233"/>
    </row>
    <row r="15" spans="1:28" x14ac:dyDescent="0.25">
      <c r="A15" s="194">
        <f t="shared" si="7"/>
        <v>63</v>
      </c>
      <c r="B15" s="169">
        <f>'Q1 (i) and (ii)'!H16</f>
        <v>85597.02637745523</v>
      </c>
      <c r="C15" s="165">
        <f>'Q1 (i) and (ii)'!I16</f>
        <v>1028.5562234232057</v>
      </c>
      <c r="D15" s="193">
        <f>'Q1 (i) and (ii)'!J16</f>
        <v>1132.1040478640602</v>
      </c>
      <c r="E15" s="211">
        <f t="shared" si="0"/>
        <v>1.0395193113304294E-2</v>
      </c>
      <c r="F15" s="211">
        <f t="shared" si="0"/>
        <v>1.144170822547072E-2</v>
      </c>
      <c r="G15" s="218">
        <f t="shared" si="8"/>
        <v>62290.524182600071</v>
      </c>
      <c r="H15" s="206">
        <f t="shared" si="9"/>
        <v>4546.6585141571395</v>
      </c>
      <c r="I15" s="206"/>
      <c r="J15" s="206">
        <f t="shared" si="10"/>
        <v>113.66646285392849</v>
      </c>
      <c r="K15" s="206"/>
      <c r="L15" s="206">
        <f t="shared" si="17"/>
        <v>100</v>
      </c>
      <c r="M15" s="183">
        <f t="shared" si="1"/>
        <v>2590.0881120283152</v>
      </c>
      <c r="N15" s="185">
        <f t="shared" si="2"/>
        <v>4.6086099260979756</v>
      </c>
      <c r="O15" s="183">
        <f t="shared" si="3"/>
        <v>1642.3011969177244</v>
      </c>
      <c r="P15" s="259">
        <f t="shared" si="4"/>
        <v>0.6068582162826891</v>
      </c>
      <c r="Q15" s="248">
        <f t="shared" si="5"/>
        <v>0.63264969047470332</v>
      </c>
      <c r="R15" s="263">
        <f t="shared" si="6"/>
        <v>0.86509380708120598</v>
      </c>
      <c r="S15" s="175">
        <f t="shared" si="11"/>
        <v>2488.3922485872868</v>
      </c>
      <c r="T15" s="176">
        <f t="shared" si="12"/>
        <v>54.730132928150766</v>
      </c>
      <c r="U15" s="176">
        <f t="shared" si="13"/>
        <v>62.209806214682175</v>
      </c>
      <c r="V15" s="176">
        <f t="shared" si="14"/>
        <v>1571.8162516805012</v>
      </c>
      <c r="W15" s="177">
        <f t="shared" si="15"/>
        <v>996.64397496041556</v>
      </c>
      <c r="X15" s="227">
        <f t="shared" si="16"/>
        <v>-197.00791719646281</v>
      </c>
      <c r="Y15" s="233"/>
      <c r="Z15" s="233"/>
      <c r="AA15" s="233"/>
      <c r="AB15" s="233"/>
    </row>
    <row r="16" spans="1:28" x14ac:dyDescent="0.25">
      <c r="A16" s="194">
        <f t="shared" si="7"/>
        <v>64</v>
      </c>
      <c r="B16" s="169">
        <f>'Q1 (i) and (ii)'!H17</f>
        <v>83436.36610616796</v>
      </c>
      <c r="C16" s="165">
        <f>'Q1 (i) and (ii)'!I17</f>
        <v>1127.0165507534612</v>
      </c>
      <c r="D16" s="193">
        <f>'Q1 (i) and (ii)'!J17</f>
        <v>1240.572350500933</v>
      </c>
      <c r="E16" s="211">
        <f t="shared" si="0"/>
        <v>1.1390290992534203E-2</v>
      </c>
      <c r="F16" s="211">
        <f t="shared" si="0"/>
        <v>1.2537952579357333E-2</v>
      </c>
      <c r="G16" s="218">
        <f t="shared" si="8"/>
        <v>64159.239908078074</v>
      </c>
      <c r="H16" s="206">
        <f t="shared" si="9"/>
        <v>4683.0582695818539</v>
      </c>
      <c r="I16" s="206"/>
      <c r="J16" s="206">
        <f t="shared" si="10"/>
        <v>117.07645673954636</v>
      </c>
      <c r="K16" s="206"/>
      <c r="L16" s="206">
        <f t="shared" si="17"/>
        <v>100</v>
      </c>
      <c r="M16" s="183">
        <f t="shared" si="1"/>
        <v>2923.1696496512905</v>
      </c>
      <c r="N16" s="185">
        <f t="shared" si="2"/>
        <v>4.6086099260979756</v>
      </c>
      <c r="O16" s="183">
        <f t="shared" si="3"/>
        <v>1853.6416893241444</v>
      </c>
      <c r="P16" s="259">
        <f t="shared" si="4"/>
        <v>0.58211819307692003</v>
      </c>
      <c r="Q16" s="248">
        <f t="shared" si="5"/>
        <v>0.6068582162826891</v>
      </c>
      <c r="R16" s="263">
        <f t="shared" si="6"/>
        <v>0.84325690574243095</v>
      </c>
      <c r="S16" s="175">
        <f t="shared" si="11"/>
        <v>2396.4959771630561</v>
      </c>
      <c r="T16" s="176">
        <f t="shared" si="12"/>
        <v>51.173738168691138</v>
      </c>
      <c r="U16" s="176">
        <f t="shared" si="13"/>
        <v>59.912399429076395</v>
      </c>
      <c r="V16" s="176">
        <f t="shared" si="14"/>
        <v>1701.6302345123026</v>
      </c>
      <c r="W16" s="177">
        <f t="shared" si="15"/>
        <v>1079.0385508014206</v>
      </c>
      <c r="X16" s="227">
        <f t="shared" si="16"/>
        <v>-495.2589457484346</v>
      </c>
      <c r="Y16" s="233"/>
      <c r="Z16" s="233"/>
      <c r="AA16" s="233"/>
      <c r="AB16" s="233"/>
    </row>
    <row r="17" spans="1:28" x14ac:dyDescent="0.25">
      <c r="A17" s="194">
        <f t="shared" si="7"/>
        <v>65</v>
      </c>
      <c r="B17" s="169">
        <f>'Q1 (i) and (ii)'!H18</f>
        <v>81068.777204913567</v>
      </c>
      <c r="C17" s="165">
        <f>'Q1 (i) and (ii)'!I18</f>
        <v>1229.3469197290231</v>
      </c>
      <c r="D17" s="193">
        <f>'Q1 (i) and (ii)'!J18</f>
        <v>1353.3299924829034</v>
      </c>
      <c r="E17" s="211">
        <f t="shared" si="0"/>
        <v>1.2424501784936327E-2</v>
      </c>
      <c r="F17" s="211">
        <f t="shared" si="0"/>
        <v>1.3677547515161951E-2</v>
      </c>
      <c r="G17" s="218">
        <f t="shared" si="8"/>
        <v>66084.017105320425</v>
      </c>
      <c r="H17" s="206">
        <f t="shared" si="9"/>
        <v>4823.5500176693104</v>
      </c>
      <c r="I17" s="206"/>
      <c r="J17" s="206">
        <f t="shared" si="10"/>
        <v>120.58875044173277</v>
      </c>
      <c r="K17" s="206"/>
      <c r="L17" s="206">
        <f t="shared" si="17"/>
        <v>100</v>
      </c>
      <c r="M17" s="183">
        <f t="shared" si="1"/>
        <v>3284.2439539232655</v>
      </c>
      <c r="N17" s="185">
        <f t="shared" si="2"/>
        <v>4.6086099260979756</v>
      </c>
      <c r="O17" s="183">
        <f t="shared" si="3"/>
        <v>2082.785868345426</v>
      </c>
      <c r="P17" s="259">
        <f t="shared" si="4"/>
        <v>0.55838675594908405</v>
      </c>
      <c r="Q17" s="248">
        <f t="shared" si="5"/>
        <v>0.58211819307692003</v>
      </c>
      <c r="R17" s="263">
        <f t="shared" si="6"/>
        <v>0.81932866217053946</v>
      </c>
      <c r="S17" s="175">
        <f t="shared" si="11"/>
        <v>2300.5734672842145</v>
      </c>
      <c r="T17" s="176">
        <f t="shared" si="12"/>
        <v>47.694612035884468</v>
      </c>
      <c r="U17" s="176">
        <f t="shared" si="13"/>
        <v>57.514336682105366</v>
      </c>
      <c r="V17" s="176">
        <f t="shared" si="14"/>
        <v>1833.8783271766054</v>
      </c>
      <c r="W17" s="177">
        <f t="shared" si="15"/>
        <v>1163.0000443619986</v>
      </c>
      <c r="X17" s="227">
        <f t="shared" si="16"/>
        <v>-801.51385297237903</v>
      </c>
      <c r="Y17" s="233"/>
      <c r="Z17" s="233"/>
      <c r="AA17" s="233"/>
      <c r="AB17" s="233"/>
    </row>
    <row r="18" spans="1:28" x14ac:dyDescent="0.25">
      <c r="A18" s="194">
        <f t="shared" si="7"/>
        <v>66</v>
      </c>
      <c r="B18" s="169">
        <f>'Q1 (i) and (ii)'!H19</f>
        <v>78486.100292701638</v>
      </c>
      <c r="C18" s="165">
        <f>'Q1 (i) and (ii)'!I19</f>
        <v>1334.4029389577088</v>
      </c>
      <c r="D18" s="193">
        <f>'Q1 (i) and (ii)'!J19</f>
        <v>1469.1231058724079</v>
      </c>
      <c r="E18" s="211">
        <f t="shared" si="0"/>
        <v>1.3486259599168961E-2</v>
      </c>
      <c r="F18" s="211">
        <f t="shared" si="0"/>
        <v>1.4847820707295829E-2</v>
      </c>
      <c r="G18" s="218">
        <f t="shared" si="8"/>
        <v>68066.537618480041</v>
      </c>
      <c r="H18" s="206">
        <f t="shared" si="9"/>
        <v>4968.2565181993896</v>
      </c>
      <c r="I18" s="206"/>
      <c r="J18" s="206">
        <f t="shared" si="10"/>
        <v>124.20641295498474</v>
      </c>
      <c r="K18" s="206"/>
      <c r="L18" s="206">
        <f t="shared" si="17"/>
        <v>100</v>
      </c>
      <c r="M18" s="183">
        <f t="shared" si="1"/>
        <v>3671.8519853576868</v>
      </c>
      <c r="N18" s="185">
        <f t="shared" si="2"/>
        <v>4.6086099260979756</v>
      </c>
      <c r="O18" s="183">
        <f t="shared" si="3"/>
        <v>2328.8221842343687</v>
      </c>
      <c r="P18" s="259">
        <f t="shared" si="4"/>
        <v>0.53562278748113568</v>
      </c>
      <c r="Q18" s="248">
        <f t="shared" si="5"/>
        <v>0.55838675594908405</v>
      </c>
      <c r="R18" s="263">
        <f t="shared" si="6"/>
        <v>0.79322661287044116</v>
      </c>
      <c r="S18" s="175">
        <f t="shared" si="11"/>
        <v>2200.5761228398519</v>
      </c>
      <c r="T18" s="176">
        <f t="shared" si="12"/>
        <v>44.29272350932056</v>
      </c>
      <c r="U18" s="176">
        <f t="shared" si="13"/>
        <v>55.014403070996302</v>
      </c>
      <c r="V18" s="176">
        <f t="shared" si="14"/>
        <v>1966.7275956154265</v>
      </c>
      <c r="W18" s="177">
        <f t="shared" si="15"/>
        <v>1247.3702298675194</v>
      </c>
      <c r="X18" s="227">
        <f t="shared" si="16"/>
        <v>-1112.8288292234108</v>
      </c>
      <c r="Y18" s="233"/>
      <c r="Z18" s="233"/>
      <c r="AA18" s="233"/>
      <c r="AB18" s="233"/>
    </row>
    <row r="19" spans="1:28" x14ac:dyDescent="0.25">
      <c r="A19" s="194">
        <f t="shared" si="7"/>
        <v>67</v>
      </c>
      <c r="B19" s="169">
        <f>'Q1 (i) and (ii)'!H20</f>
        <v>75682.574247871526</v>
      </c>
      <c r="C19" s="165">
        <f>'Q1 (i) and (ii)'!I20</f>
        <v>1440.7900029717157</v>
      </c>
      <c r="D19" s="193">
        <f>'Q1 (i) and (ii)'!J20</f>
        <v>1586.420931418801</v>
      </c>
      <c r="E19" s="211">
        <f t="shared" si="0"/>
        <v>1.4561469733528367E-2</v>
      </c>
      <c r="F19" s="211">
        <f t="shared" si="0"/>
        <v>1.6033301403982774E-2</v>
      </c>
      <c r="G19" s="218">
        <f t="shared" si="8"/>
        <v>70108.533747034438</v>
      </c>
      <c r="H19" s="206">
        <f t="shared" si="9"/>
        <v>5117.3042137453713</v>
      </c>
      <c r="I19" s="206"/>
      <c r="J19" s="206">
        <f t="shared" si="10"/>
        <v>127.93260534363429</v>
      </c>
      <c r="K19" s="206"/>
      <c r="L19" s="206">
        <f t="shared" si="17"/>
        <v>100</v>
      </c>
      <c r="M19" s="183">
        <f t="shared" si="1"/>
        <v>4083.5331688779765</v>
      </c>
      <c r="N19" s="185">
        <f t="shared" si="2"/>
        <v>4.6086099260979756</v>
      </c>
      <c r="O19" s="183">
        <f t="shared" si="3"/>
        <v>2590.2029660889416</v>
      </c>
      <c r="P19" s="259">
        <f t="shared" si="4"/>
        <v>0.51378684650468653</v>
      </c>
      <c r="Q19" s="248">
        <f t="shared" si="5"/>
        <v>0.53562278748113568</v>
      </c>
      <c r="R19" s="263">
        <f t="shared" si="6"/>
        <v>0.76489253256397638</v>
      </c>
      <c r="S19" s="175">
        <f t="shared" si="11"/>
        <v>2096.5281694224909</v>
      </c>
      <c r="T19" s="176">
        <f t="shared" si="12"/>
        <v>40.969387041542241</v>
      </c>
      <c r="U19" s="176">
        <f t="shared" si="13"/>
        <v>52.413204235562283</v>
      </c>
      <c r="V19" s="176">
        <f t="shared" si="14"/>
        <v>2098.0656294351052</v>
      </c>
      <c r="W19" s="177">
        <f t="shared" si="15"/>
        <v>1330.8122137539228</v>
      </c>
      <c r="X19" s="227">
        <f t="shared" si="16"/>
        <v>-1425.7322650436415</v>
      </c>
      <c r="Y19" s="233"/>
      <c r="Z19" s="233"/>
      <c r="AA19" s="233"/>
      <c r="AB19" s="233"/>
    </row>
    <row r="20" spans="1:28" x14ac:dyDescent="0.25">
      <c r="A20" s="194">
        <f t="shared" si="7"/>
        <v>68</v>
      </c>
      <c r="B20" s="169">
        <f>'Q1 (i) and (ii)'!H21</f>
        <v>72655.363313481008</v>
      </c>
      <c r="C20" s="165">
        <f>'Q1 (i) and (ii)'!I21</f>
        <v>1546.7386060203405</v>
      </c>
      <c r="D20" s="193">
        <f>'Q1 (i) and (ii)'!J21</f>
        <v>1703.2816750138049</v>
      </c>
      <c r="E20" s="211">
        <f t="shared" si="0"/>
        <v>1.5632248523928156E-2</v>
      </c>
      <c r="F20" s="211">
        <f t="shared" si="0"/>
        <v>1.7214364693835204E-2</v>
      </c>
      <c r="G20" s="218">
        <f t="shared" si="8"/>
        <v>72211.78975944547</v>
      </c>
      <c r="H20" s="206">
        <f t="shared" si="9"/>
        <v>5270.8233401577318</v>
      </c>
      <c r="I20" s="206"/>
      <c r="J20" s="206">
        <f t="shared" si="10"/>
        <v>131.7705835039433</v>
      </c>
      <c r="K20" s="206"/>
      <c r="L20" s="206">
        <f t="shared" si="17"/>
        <v>100</v>
      </c>
      <c r="M20" s="183">
        <f t="shared" si="1"/>
        <v>4515.3305755092069</v>
      </c>
      <c r="N20" s="185">
        <f t="shared" si="2"/>
        <v>4.6086099260979756</v>
      </c>
      <c r="O20" s="183">
        <f t="shared" si="3"/>
        <v>2864.4356072904338</v>
      </c>
      <c r="P20" s="259">
        <f t="shared" si="4"/>
        <v>0.49284109976468737</v>
      </c>
      <c r="Q20" s="248">
        <f t="shared" si="5"/>
        <v>0.51378684650468653</v>
      </c>
      <c r="R20" s="263">
        <f t="shared" si="6"/>
        <v>0.73429776142646519</v>
      </c>
      <c r="S20" s="175">
        <f t="shared" si="11"/>
        <v>1988.5368632536126</v>
      </c>
      <c r="T20" s="176">
        <f t="shared" si="12"/>
        <v>37.727253123875421</v>
      </c>
      <c r="U20" s="176">
        <f t="shared" si="13"/>
        <v>49.71342158134032</v>
      </c>
      <c r="V20" s="176">
        <f t="shared" si="14"/>
        <v>2225.3404866350761</v>
      </c>
      <c r="W20" s="177">
        <f t="shared" si="15"/>
        <v>1411.7115949021475</v>
      </c>
      <c r="X20" s="227">
        <f t="shared" si="16"/>
        <v>-1735.9558929888267</v>
      </c>
      <c r="Y20" s="233"/>
      <c r="Z20" s="233"/>
      <c r="AA20" s="233"/>
      <c r="AB20" s="233"/>
    </row>
    <row r="21" spans="1:28" x14ac:dyDescent="0.25">
      <c r="A21" s="194">
        <f t="shared" si="7"/>
        <v>69</v>
      </c>
      <c r="B21" s="169">
        <f>'Q1 (i) and (ii)'!H22</f>
        <v>69405.343032446865</v>
      </c>
      <c r="C21" s="165">
        <f>'Q1 (i) and (ii)'!I22</f>
        <v>1650.094511071112</v>
      </c>
      <c r="D21" s="193">
        <f>'Q1 (i) and (ii)'!J22</f>
        <v>1817.3386980940752</v>
      </c>
      <c r="E21" s="211">
        <f t="shared" si="0"/>
        <v>1.6676823986052448E-2</v>
      </c>
      <c r="F21" s="211">
        <f t="shared" si="0"/>
        <v>1.836709193795414E-2</v>
      </c>
      <c r="G21" s="218">
        <f t="shared" si="8"/>
        <v>74378.143452228833</v>
      </c>
      <c r="H21" s="206">
        <f t="shared" si="9"/>
        <v>5428.9480403624639</v>
      </c>
      <c r="I21" s="206"/>
      <c r="J21" s="206">
        <f t="shared" si="10"/>
        <v>135.72370100906161</v>
      </c>
      <c r="K21" s="206"/>
      <c r="L21" s="206">
        <f t="shared" si="17"/>
        <v>100</v>
      </c>
      <c r="M21" s="183">
        <f t="shared" si="1"/>
        <v>4961.5648270487191</v>
      </c>
      <c r="N21" s="185">
        <f t="shared" si="2"/>
        <v>4.6086099260979756</v>
      </c>
      <c r="O21" s="183">
        <f t="shared" si="3"/>
        <v>3147.9345115386604</v>
      </c>
      <c r="P21" s="259">
        <f t="shared" si="4"/>
        <v>0.47274925636900461</v>
      </c>
      <c r="Q21" s="248">
        <f t="shared" si="5"/>
        <v>0.49284109976468737</v>
      </c>
      <c r="R21" s="263">
        <f t="shared" si="6"/>
        <v>0.70145114820870191</v>
      </c>
      <c r="S21" s="175">
        <f t="shared" si="11"/>
        <v>1876.8088107495525</v>
      </c>
      <c r="T21" s="176">
        <f t="shared" si="12"/>
        <v>34.570395531437931</v>
      </c>
      <c r="U21" s="176">
        <f t="shared" si="13"/>
        <v>46.920220268738824</v>
      </c>
      <c r="V21" s="176">
        <f t="shared" si="14"/>
        <v>2345.5760824138911</v>
      </c>
      <c r="W21" s="177">
        <f t="shared" si="15"/>
        <v>1488.1836994282276</v>
      </c>
      <c r="X21" s="227">
        <f t="shared" si="16"/>
        <v>-2038.4415868927429</v>
      </c>
      <c r="Y21" s="233"/>
      <c r="Z21" s="233"/>
      <c r="AA21" s="233"/>
      <c r="AB21" s="233"/>
    </row>
    <row r="22" spans="1:28" x14ac:dyDescent="0.25">
      <c r="A22" s="194">
        <f t="shared" si="7"/>
        <v>70</v>
      </c>
      <c r="B22" s="169">
        <f>'Q1 (i) and (ii)'!H23</f>
        <v>65937.909823281676</v>
      </c>
      <c r="C22" s="165">
        <f>'Q1 (i) and (ii)'!I23</f>
        <v>1748.3237812307343</v>
      </c>
      <c r="D22" s="193">
        <f>'Q1 (i) and (ii)'!J23</f>
        <v>1925.8080467255561</v>
      </c>
      <c r="E22" s="211">
        <f t="shared" si="0"/>
        <v>1.7669586665850136E-2</v>
      </c>
      <c r="F22" s="211">
        <f t="shared" si="0"/>
        <v>1.9463346863276422E-2</v>
      </c>
      <c r="G22" s="218">
        <f t="shared" si="8"/>
        <v>76609.487755795693</v>
      </c>
      <c r="H22" s="206">
        <f t="shared" si="9"/>
        <v>5591.816481573338</v>
      </c>
      <c r="I22" s="206"/>
      <c r="J22" s="206">
        <f t="shared" si="10"/>
        <v>139.79541203933346</v>
      </c>
      <c r="K22" s="206"/>
      <c r="L22" s="206">
        <f t="shared" si="17"/>
        <v>100</v>
      </c>
      <c r="M22" s="183">
        <f t="shared" si="1"/>
        <v>5414.6319333096671</v>
      </c>
      <c r="N22" s="185">
        <f t="shared" si="2"/>
        <v>4.6086099260979756</v>
      </c>
      <c r="O22" s="183">
        <f t="shared" si="3"/>
        <v>3435.8962079118123</v>
      </c>
      <c r="P22" s="259">
        <f t="shared" si="4"/>
        <v>0.45347650491031616</v>
      </c>
      <c r="Q22" s="248">
        <f t="shared" si="5"/>
        <v>0.47274925636900461</v>
      </c>
      <c r="R22" s="263">
        <f t="shared" si="6"/>
        <v>0.66640723228469523</v>
      </c>
      <c r="S22" s="175">
        <f t="shared" si="11"/>
        <v>1761.6655671287156</v>
      </c>
      <c r="T22" s="176">
        <f t="shared" si="12"/>
        <v>31.50435235015162</v>
      </c>
      <c r="U22" s="176">
        <f t="shared" si="13"/>
        <v>44.041639178217885</v>
      </c>
      <c r="V22" s="176">
        <f t="shared" si="14"/>
        <v>2455.4083644930561</v>
      </c>
      <c r="W22" s="177">
        <f t="shared" si="15"/>
        <v>1558.0982035984575</v>
      </c>
      <c r="X22" s="227">
        <f t="shared" si="16"/>
        <v>-2327.3869924911673</v>
      </c>
      <c r="Y22" s="233"/>
      <c r="Z22" s="233"/>
      <c r="AA22" s="233"/>
      <c r="AB22" s="233"/>
    </row>
    <row r="23" spans="1:28" ht="15.75" thickBot="1" x14ac:dyDescent="0.3">
      <c r="A23" s="195">
        <f t="shared" si="7"/>
        <v>71</v>
      </c>
      <c r="B23" s="170">
        <f>'Q1 (i) and (ii)'!H24</f>
        <v>62263.777995325385</v>
      </c>
      <c r="C23" s="171">
        <f>'Q1 (i) and (ii)'!I24</f>
        <v>1838.619353407571</v>
      </c>
      <c r="D23" s="196">
        <f>'Q1 (i) and (ii)'!J24</f>
        <v>2025.6019870543571</v>
      </c>
      <c r="E23" s="212">
        <f t="shared" si="0"/>
        <v>1.858216673554295E-2</v>
      </c>
      <c r="F23" s="212">
        <f t="shared" si="0"/>
        <v>2.0471923018503882E-2</v>
      </c>
      <c r="G23" s="219">
        <f t="shared" si="8"/>
        <v>78907.772388469573</v>
      </c>
      <c r="H23" s="208">
        <f t="shared" si="9"/>
        <v>5759.5709760205382</v>
      </c>
      <c r="I23" s="208"/>
      <c r="J23" s="208">
        <f t="shared" si="10"/>
        <v>143.98927440051347</v>
      </c>
      <c r="K23" s="208"/>
      <c r="L23" s="208">
        <f t="shared" si="17"/>
        <v>100</v>
      </c>
      <c r="M23" s="186">
        <f t="shared" si="1"/>
        <v>5865.1095330112548</v>
      </c>
      <c r="N23" s="187">
        <f t="shared" si="2"/>
        <v>4.6086099260979756</v>
      </c>
      <c r="O23" s="186">
        <f t="shared" si="3"/>
        <v>3722.360047165198</v>
      </c>
      <c r="P23" s="261">
        <f t="shared" si="4"/>
        <v>0.43498945315138243</v>
      </c>
      <c r="Q23" s="250">
        <f t="shared" si="5"/>
        <v>0.45347650491031616</v>
      </c>
      <c r="R23" s="264">
        <f t="shared" si="6"/>
        <v>0.62927429875556873</v>
      </c>
      <c r="S23" s="178">
        <f t="shared" si="11"/>
        <v>1643.5575647074597</v>
      </c>
      <c r="T23" s="179">
        <f t="shared" si="12"/>
        <v>28.536110962956542</v>
      </c>
      <c r="U23" s="179">
        <f t="shared" si="13"/>
        <v>41.0889391176865</v>
      </c>
      <c r="V23" s="179">
        <f t="shared" si="14"/>
        <v>2551.2607884375257</v>
      </c>
      <c r="W23" s="180">
        <f t="shared" si="15"/>
        <v>1619.1873613489436</v>
      </c>
      <c r="X23" s="229">
        <f t="shared" si="16"/>
        <v>-2596.5156351596524</v>
      </c>
      <c r="Y23" s="233"/>
      <c r="Z23" s="233"/>
      <c r="AA23" s="233"/>
      <c r="AB23" s="233"/>
    </row>
    <row r="24" spans="1:28" x14ac:dyDescent="0.25">
      <c r="A24" s="213"/>
      <c r="B24" s="213"/>
      <c r="C24" s="213"/>
      <c r="D24" s="213"/>
      <c r="E24" s="214"/>
      <c r="F24" s="213"/>
      <c r="Q24" s="248"/>
      <c r="R24" s="248"/>
      <c r="S24" s="176">
        <f t="shared" ref="S24:X24" si="18">SUM(S4:S23)</f>
        <v>51208.192678740859</v>
      </c>
      <c r="T24" s="176">
        <f t="shared" si="18"/>
        <v>1533.2943420167974</v>
      </c>
      <c r="U24" s="176">
        <f t="shared" si="18"/>
        <v>2183.4706001839304</v>
      </c>
      <c r="V24" s="176">
        <f t="shared" si="18"/>
        <v>29060.984716110725</v>
      </c>
      <c r="W24" s="176">
        <f t="shared" si="18"/>
        <v>18430.443020429411</v>
      </c>
      <c r="X24" s="176">
        <f t="shared" si="18"/>
        <v>1.0459189070388675E-11</v>
      </c>
      <c r="Y24" s="233"/>
      <c r="Z24" s="233"/>
      <c r="AA24" s="233"/>
      <c r="AB24" s="233"/>
    </row>
    <row r="25" spans="1:28" ht="15.75" thickBot="1" x14ac:dyDescent="0.3">
      <c r="A25" s="213"/>
      <c r="B25" s="213"/>
      <c r="C25" s="213"/>
      <c r="D25" s="213"/>
      <c r="E25" s="214"/>
      <c r="F25" s="213"/>
    </row>
    <row r="26" spans="1:28" x14ac:dyDescent="0.25">
      <c r="B26" s="61"/>
      <c r="E26" s="64"/>
      <c r="F26" s="62" t="s">
        <v>66</v>
      </c>
      <c r="G26" s="63">
        <v>45000</v>
      </c>
      <c r="I26" s="67" t="s">
        <v>24</v>
      </c>
      <c r="J26" s="68">
        <v>0.3</v>
      </c>
      <c r="K26" s="67" t="s">
        <v>28</v>
      </c>
      <c r="L26" s="69">
        <v>400</v>
      </c>
      <c r="M26" s="59"/>
      <c r="N26" s="65" t="s">
        <v>67</v>
      </c>
      <c r="O26" s="66">
        <v>4</v>
      </c>
    </row>
    <row r="27" spans="1:28" x14ac:dyDescent="0.25">
      <c r="E27" s="60"/>
      <c r="F27" s="70" t="s">
        <v>15</v>
      </c>
      <c r="G27" s="71">
        <v>0.03</v>
      </c>
      <c r="I27" s="74" t="s">
        <v>26</v>
      </c>
      <c r="J27" s="75">
        <v>2.5000000000000001E-2</v>
      </c>
      <c r="K27" s="74" t="s">
        <v>30</v>
      </c>
      <c r="L27" s="76">
        <v>100</v>
      </c>
      <c r="M27" s="59"/>
      <c r="N27" s="72" t="s">
        <v>68</v>
      </c>
      <c r="O27" s="73">
        <v>0.5</v>
      </c>
    </row>
    <row r="28" spans="1:28" ht="15.75" thickBot="1" x14ac:dyDescent="0.3">
      <c r="E28" s="79"/>
      <c r="F28" s="77" t="s">
        <v>69</v>
      </c>
      <c r="G28" s="78">
        <v>4.2500000000000003E-2</v>
      </c>
      <c r="I28" s="82"/>
      <c r="J28" s="81"/>
      <c r="K28" s="82"/>
      <c r="L28" s="83"/>
      <c r="M28" s="59"/>
      <c r="N28" s="80" t="s">
        <v>70</v>
      </c>
      <c r="O28" s="81">
        <v>5</v>
      </c>
    </row>
  </sheetData>
  <mergeCells count="1">
    <mergeCell ref="A2:D2"/>
  </mergeCells>
  <printOptions gridLines="1"/>
  <pageMargins left="0.7" right="0.7" top="0.75" bottom="0.75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4"/>
  <sheetViews>
    <sheetView workbookViewId="0"/>
  </sheetViews>
  <sheetFormatPr defaultRowHeight="15" x14ac:dyDescent="0.25"/>
  <cols>
    <col min="2" max="2" width="17.7109375" customWidth="1"/>
  </cols>
  <sheetData>
    <row r="2" spans="1:2" x14ac:dyDescent="0.25">
      <c r="A2" t="s">
        <v>89</v>
      </c>
      <c r="B2" t="s">
        <v>90</v>
      </c>
    </row>
    <row r="3" spans="1:2" x14ac:dyDescent="0.25">
      <c r="A3" t="s">
        <v>91</v>
      </c>
      <c r="B3">
        <f>'Q1 (i) and (ii)'!M2</f>
        <v>0.2319635235407056</v>
      </c>
    </row>
    <row r="4" spans="1:2" x14ac:dyDescent="0.25">
      <c r="A4" t="s">
        <v>92</v>
      </c>
      <c r="B4" s="84">
        <f>'Q1 (iii)'!S27</f>
        <v>7.2991174401308409E-2</v>
      </c>
    </row>
  </sheetData>
  <printOptions gridLines="1"/>
  <pageMargins left="0.7" right="0.7" top="0.75" bottom="0.75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4"/>
  <sheetViews>
    <sheetView workbookViewId="0">
      <selection sqref="A1:B1"/>
    </sheetView>
  </sheetViews>
  <sheetFormatPr defaultRowHeight="15" x14ac:dyDescent="0.25"/>
  <cols>
    <col min="2" max="2" width="10.28515625" bestFit="1" customWidth="1"/>
    <col min="3" max="3" width="10.28515625" customWidth="1"/>
    <col min="4" max="4" width="12.140625" style="1" customWidth="1"/>
  </cols>
  <sheetData>
    <row r="1" spans="1:8" x14ac:dyDescent="0.25">
      <c r="A1" s="378" t="s">
        <v>0</v>
      </c>
      <c r="B1" s="378"/>
    </row>
    <row r="2" spans="1:8" x14ac:dyDescent="0.25">
      <c r="A2" s="37" t="s">
        <v>36</v>
      </c>
      <c r="B2" s="37" t="s">
        <v>93</v>
      </c>
    </row>
    <row r="4" spans="1:8" x14ac:dyDescent="0.25">
      <c r="A4" s="25">
        <v>20</v>
      </c>
      <c r="B4" s="104">
        <v>3.7199999999999999E-4</v>
      </c>
      <c r="D4" s="1" t="s">
        <v>94</v>
      </c>
      <c r="G4" s="105">
        <v>0.06</v>
      </c>
      <c r="H4" t="s">
        <v>95</v>
      </c>
    </row>
    <row r="5" spans="1:8" x14ac:dyDescent="0.25">
      <c r="A5" s="25">
        <v>21</v>
      </c>
      <c r="B5" s="104">
        <v>3.7500000000000001E-4</v>
      </c>
      <c r="D5" s="1" t="s">
        <v>96</v>
      </c>
    </row>
    <row r="6" spans="1:8" x14ac:dyDescent="0.25">
      <c r="A6" s="25">
        <v>22</v>
      </c>
      <c r="B6" s="104">
        <v>3.8000000000000002E-4</v>
      </c>
    </row>
    <row r="7" spans="1:8" x14ac:dyDescent="0.25">
      <c r="A7" s="25">
        <v>23</v>
      </c>
      <c r="B7" s="104">
        <v>3.8400000000000001E-4</v>
      </c>
    </row>
    <row r="8" spans="1:8" x14ac:dyDescent="0.25">
      <c r="A8" s="25">
        <v>24</v>
      </c>
      <c r="B8" s="104">
        <v>3.8999999999999999E-4</v>
      </c>
      <c r="D8" s="1" t="s">
        <v>97</v>
      </c>
    </row>
    <row r="9" spans="1:8" x14ac:dyDescent="0.25">
      <c r="A9" s="25">
        <v>25</v>
      </c>
      <c r="B9" s="104">
        <v>3.9599999999999998E-4</v>
      </c>
      <c r="D9" s="1" t="s">
        <v>98</v>
      </c>
      <c r="E9" t="s">
        <v>99</v>
      </c>
    </row>
    <row r="10" spans="1:8" x14ac:dyDescent="0.25">
      <c r="A10" s="25">
        <v>26</v>
      </c>
      <c r="B10" s="104">
        <v>4.0299999999999998E-4</v>
      </c>
      <c r="E10" t="s">
        <v>100</v>
      </c>
    </row>
    <row r="11" spans="1:8" x14ac:dyDescent="0.25">
      <c r="A11" s="25">
        <v>27</v>
      </c>
      <c r="B11" s="104">
        <v>4.1100000000000002E-4</v>
      </c>
      <c r="E11" t="s">
        <v>101</v>
      </c>
    </row>
    <row r="12" spans="1:8" x14ac:dyDescent="0.25">
      <c r="A12" s="25">
        <v>28</v>
      </c>
      <c r="B12" s="104">
        <v>4.2099999999999999E-4</v>
      </c>
      <c r="E12" t="s">
        <v>102</v>
      </c>
    </row>
    <row r="13" spans="1:8" x14ac:dyDescent="0.25">
      <c r="A13" s="25">
        <v>29</v>
      </c>
      <c r="B13" s="104">
        <v>4.3100000000000001E-4</v>
      </c>
      <c r="D13" s="1" t="s">
        <v>103</v>
      </c>
      <c r="E13" t="s">
        <v>104</v>
      </c>
    </row>
    <row r="14" spans="1:8" x14ac:dyDescent="0.25">
      <c r="A14" s="25">
        <v>30</v>
      </c>
      <c r="B14" s="104">
        <v>4.4299999999999998E-4</v>
      </c>
      <c r="D14" s="1" t="s">
        <v>105</v>
      </c>
      <c r="E14" t="s">
        <v>106</v>
      </c>
    </row>
    <row r="15" spans="1:8" x14ac:dyDescent="0.25">
      <c r="A15" s="25">
        <v>31</v>
      </c>
      <c r="B15" s="104">
        <v>4.5600000000000003E-4</v>
      </c>
    </row>
    <row r="16" spans="1:8" x14ac:dyDescent="0.25">
      <c r="A16" s="25">
        <v>32</v>
      </c>
      <c r="B16" s="104">
        <v>4.7100000000000001E-4</v>
      </c>
    </row>
    <row r="17" spans="1:2" x14ac:dyDescent="0.25">
      <c r="A17" s="25">
        <v>33</v>
      </c>
      <c r="B17" s="104">
        <v>4.8899999999999996E-4</v>
      </c>
    </row>
    <row r="18" spans="1:2" x14ac:dyDescent="0.25">
      <c r="A18" s="25">
        <v>34</v>
      </c>
      <c r="B18" s="104">
        <v>5.0799999999999999E-4</v>
      </c>
    </row>
    <row r="19" spans="1:2" x14ac:dyDescent="0.25">
      <c r="A19" s="25">
        <v>35</v>
      </c>
      <c r="B19" s="104">
        <v>5.31E-4</v>
      </c>
    </row>
    <row r="20" spans="1:2" x14ac:dyDescent="0.25">
      <c r="A20" s="25">
        <v>36</v>
      </c>
      <c r="B20" s="104">
        <v>5.5599999999999996E-4</v>
      </c>
    </row>
    <row r="21" spans="1:2" x14ac:dyDescent="0.25">
      <c r="A21" s="25">
        <v>37</v>
      </c>
      <c r="B21" s="104">
        <v>5.8500000000000002E-4</v>
      </c>
    </row>
    <row r="22" spans="1:2" x14ac:dyDescent="0.25">
      <c r="A22" s="25">
        <v>38</v>
      </c>
      <c r="B22" s="104">
        <v>6.1700000000000004E-4</v>
      </c>
    </row>
    <row r="23" spans="1:2" x14ac:dyDescent="0.25">
      <c r="A23" s="25">
        <v>39</v>
      </c>
      <c r="B23" s="104">
        <v>6.5399999999999996E-4</v>
      </c>
    </row>
    <row r="24" spans="1:2" x14ac:dyDescent="0.25">
      <c r="A24" s="25">
        <v>40</v>
      </c>
      <c r="B24" s="104">
        <v>6.96E-4</v>
      </c>
    </row>
    <row r="25" spans="1:2" x14ac:dyDescent="0.25">
      <c r="A25" s="25">
        <v>41</v>
      </c>
      <c r="B25" s="104">
        <v>7.4399999999999998E-4</v>
      </c>
    </row>
    <row r="26" spans="1:2" x14ac:dyDescent="0.25">
      <c r="A26" s="25">
        <v>42</v>
      </c>
      <c r="B26" s="104">
        <v>7.9799999999999999E-4</v>
      </c>
    </row>
    <row r="27" spans="1:2" x14ac:dyDescent="0.25">
      <c r="A27" s="25">
        <v>43</v>
      </c>
      <c r="B27" s="104">
        <v>8.5999999999999998E-4</v>
      </c>
    </row>
    <row r="28" spans="1:2" x14ac:dyDescent="0.25">
      <c r="A28" s="25">
        <v>44</v>
      </c>
      <c r="B28" s="104">
        <v>9.2900000000000003E-4</v>
      </c>
    </row>
    <row r="29" spans="1:2" x14ac:dyDescent="0.25">
      <c r="A29" s="25">
        <v>45</v>
      </c>
      <c r="B29" s="104">
        <v>1.008E-3</v>
      </c>
    </row>
    <row r="30" spans="1:2" x14ac:dyDescent="0.25">
      <c r="A30" s="25">
        <v>46</v>
      </c>
      <c r="B30" s="104">
        <v>1.098E-3</v>
      </c>
    </row>
    <row r="31" spans="1:2" x14ac:dyDescent="0.25">
      <c r="A31" s="25">
        <v>47</v>
      </c>
      <c r="B31" s="104">
        <v>1.1999999999999999E-3</v>
      </c>
    </row>
    <row r="32" spans="1:2" x14ac:dyDescent="0.25">
      <c r="A32" s="25">
        <v>48</v>
      </c>
      <c r="B32" s="104">
        <v>1.315E-3</v>
      </c>
    </row>
    <row r="33" spans="1:2" x14ac:dyDescent="0.25">
      <c r="A33" s="25">
        <v>49</v>
      </c>
      <c r="B33" s="104">
        <v>1.4469999999999999E-3</v>
      </c>
    </row>
    <row r="34" spans="1:2" x14ac:dyDescent="0.25">
      <c r="A34" s="25">
        <v>50</v>
      </c>
      <c r="B34" s="104">
        <v>1.5950000000000001E-3</v>
      </c>
    </row>
  </sheetData>
  <mergeCells count="1">
    <mergeCell ref="A1:B1"/>
  </mergeCells>
  <printOptions gridLines="1"/>
  <pageMargins left="0.7" right="0.7" top="0.75" bottom="0.75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68"/>
  <sheetViews>
    <sheetView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F7" sqref="F7"/>
    </sheetView>
  </sheetViews>
  <sheetFormatPr defaultRowHeight="15" x14ac:dyDescent="0.25"/>
  <cols>
    <col min="1" max="5" width="9.140625" style="106"/>
    <col min="6" max="7" width="14.28515625" style="106" bestFit="1" customWidth="1"/>
    <col min="8" max="8" width="10.7109375" style="106" bestFit="1" customWidth="1"/>
    <col min="9" max="9" width="14.5703125" style="106" bestFit="1" customWidth="1"/>
    <col min="10" max="11" width="14.42578125" style="106" bestFit="1" customWidth="1"/>
    <col min="12" max="12" width="9.140625" style="106"/>
    <col min="13" max="14" width="14.28515625" style="106" bestFit="1" customWidth="1"/>
    <col min="15" max="15" width="10.7109375" style="106" bestFit="1" customWidth="1"/>
    <col min="16" max="16" width="14.5703125" style="106" bestFit="1" customWidth="1"/>
    <col min="17" max="18" width="14.42578125" style="106" bestFit="1" customWidth="1"/>
    <col min="19" max="19" width="9.140625" style="106"/>
    <col min="20" max="20" width="13.28515625" style="106" bestFit="1" customWidth="1"/>
    <col min="21" max="16384" width="9.140625" style="106"/>
  </cols>
  <sheetData>
    <row r="1" spans="1:20" s="107" customFormat="1" x14ac:dyDescent="0.25">
      <c r="C1" s="265" t="s">
        <v>34</v>
      </c>
      <c r="D1" s="270" t="s">
        <v>34</v>
      </c>
      <c r="E1" s="270" t="s">
        <v>34</v>
      </c>
      <c r="F1" s="270" t="s">
        <v>47</v>
      </c>
      <c r="G1" s="270" t="s">
        <v>34</v>
      </c>
      <c r="H1" s="282" t="s">
        <v>47</v>
      </c>
      <c r="I1" s="282" t="s">
        <v>34</v>
      </c>
      <c r="J1" s="288" t="s">
        <v>34</v>
      </c>
      <c r="K1" s="293" t="s">
        <v>34</v>
      </c>
      <c r="L1" s="265" t="s">
        <v>34</v>
      </c>
      <c r="M1" s="379" t="s">
        <v>47</v>
      </c>
      <c r="N1" s="379"/>
      <c r="O1" s="380" t="s">
        <v>47</v>
      </c>
      <c r="P1" s="380"/>
      <c r="Q1" s="288" t="s">
        <v>34</v>
      </c>
      <c r="R1" s="293" t="s">
        <v>34</v>
      </c>
      <c r="S1" s="108"/>
      <c r="T1" s="109" t="s">
        <v>107</v>
      </c>
    </row>
    <row r="2" spans="1:20" x14ac:dyDescent="0.25">
      <c r="C2" s="266"/>
      <c r="D2" s="271"/>
      <c r="E2" s="271"/>
      <c r="F2" s="272" t="s">
        <v>108</v>
      </c>
      <c r="G2" s="273"/>
      <c r="H2" s="283"/>
      <c r="I2" s="283"/>
      <c r="J2" s="289"/>
      <c r="K2" s="294"/>
      <c r="L2" s="302"/>
      <c r="M2" s="273" t="s">
        <v>109</v>
      </c>
      <c r="N2" s="273"/>
      <c r="O2" s="283"/>
      <c r="P2" s="283"/>
      <c r="Q2" s="289"/>
      <c r="R2" s="294"/>
      <c r="T2" s="113" t="s">
        <v>110</v>
      </c>
    </row>
    <row r="3" spans="1:20" x14ac:dyDescent="0.25">
      <c r="C3" s="266"/>
      <c r="D3" s="271"/>
      <c r="E3" s="271"/>
      <c r="F3" s="381" t="s">
        <v>111</v>
      </c>
      <c r="G3" s="382"/>
      <c r="H3" s="284" t="s">
        <v>98</v>
      </c>
      <c r="I3" s="285">
        <v>1.05</v>
      </c>
      <c r="J3" s="290" t="s">
        <v>103</v>
      </c>
      <c r="K3" s="295" t="s">
        <v>105</v>
      </c>
      <c r="L3" s="303"/>
      <c r="M3" s="382" t="s">
        <v>111</v>
      </c>
      <c r="N3" s="382"/>
      <c r="O3" s="284" t="s">
        <v>98</v>
      </c>
      <c r="P3" s="285">
        <v>1.05</v>
      </c>
      <c r="Q3" s="290" t="s">
        <v>103</v>
      </c>
      <c r="R3" s="295" t="s">
        <v>105</v>
      </c>
    </row>
    <row r="4" spans="1:20" x14ac:dyDescent="0.25">
      <c r="B4" s="106" t="s">
        <v>76</v>
      </c>
      <c r="C4" s="267">
        <v>0.06</v>
      </c>
      <c r="D4" s="271"/>
      <c r="E4" s="271"/>
      <c r="F4" s="274" t="s">
        <v>112</v>
      </c>
      <c r="G4" s="275">
        <v>1500000</v>
      </c>
      <c r="H4" s="286">
        <v>55000</v>
      </c>
      <c r="I4" s="285">
        <v>0.01</v>
      </c>
      <c r="J4" s="291">
        <v>300000</v>
      </c>
      <c r="K4" s="296">
        <v>1202946</v>
      </c>
      <c r="L4" s="303"/>
      <c r="M4" s="279" t="s">
        <v>112</v>
      </c>
      <c r="N4" s="275">
        <v>1500000</v>
      </c>
      <c r="O4" s="286">
        <v>55000</v>
      </c>
      <c r="P4" s="285">
        <v>0.01</v>
      </c>
      <c r="Q4" s="291">
        <f>J4</f>
        <v>300000</v>
      </c>
      <c r="R4" s="296">
        <f>solver_adj</f>
        <v>1202946</v>
      </c>
    </row>
    <row r="5" spans="1:20" x14ac:dyDescent="0.25">
      <c r="C5" s="266"/>
      <c r="D5" s="271"/>
      <c r="E5" s="271"/>
      <c r="F5" s="400" t="s">
        <v>108</v>
      </c>
      <c r="G5" s="401"/>
      <c r="H5" s="401"/>
      <c r="I5" s="401"/>
      <c r="J5" s="401"/>
      <c r="K5" s="402"/>
      <c r="L5" s="303"/>
      <c r="M5" s="401" t="s">
        <v>248</v>
      </c>
      <c r="N5" s="401"/>
      <c r="O5" s="401"/>
      <c r="P5" s="401"/>
      <c r="Q5" s="401"/>
      <c r="R5" s="401"/>
      <c r="S5" s="117"/>
    </row>
    <row r="6" spans="1:20" x14ac:dyDescent="0.25">
      <c r="A6" s="106" t="s">
        <v>113</v>
      </c>
      <c r="B6" s="106" t="s">
        <v>36</v>
      </c>
      <c r="C6" s="266" t="s">
        <v>114</v>
      </c>
      <c r="D6" s="271" t="s">
        <v>115</v>
      </c>
      <c r="E6" s="271" t="s">
        <v>116</v>
      </c>
      <c r="F6" s="403" t="s">
        <v>244</v>
      </c>
      <c r="G6" s="404" t="s">
        <v>245</v>
      </c>
      <c r="H6" s="404" t="s">
        <v>250</v>
      </c>
      <c r="I6" s="404" t="s">
        <v>246</v>
      </c>
      <c r="J6" s="404" t="s">
        <v>246</v>
      </c>
      <c r="K6" s="404" t="s">
        <v>246</v>
      </c>
      <c r="L6" s="303" t="s">
        <v>117</v>
      </c>
      <c r="M6" s="405" t="s">
        <v>244</v>
      </c>
      <c r="N6" s="405" t="s">
        <v>245</v>
      </c>
      <c r="O6" s="405" t="s">
        <v>250</v>
      </c>
      <c r="P6" s="405" t="s">
        <v>246</v>
      </c>
      <c r="Q6" s="405" t="s">
        <v>246</v>
      </c>
      <c r="R6" s="405" t="s">
        <v>246</v>
      </c>
      <c r="S6" s="117"/>
    </row>
    <row r="7" spans="1:20" x14ac:dyDescent="0.25">
      <c r="C7" s="266"/>
      <c r="D7" s="271"/>
      <c r="E7" s="271"/>
      <c r="F7" s="276"/>
      <c r="G7" s="271"/>
      <c r="H7" s="284"/>
      <c r="I7" s="284"/>
      <c r="J7" s="291"/>
      <c r="K7" s="296"/>
      <c r="L7" s="303"/>
      <c r="M7" s="271"/>
      <c r="N7" s="271"/>
      <c r="O7" s="284"/>
      <c r="P7" s="284"/>
      <c r="Q7" s="291"/>
      <c r="R7" s="296"/>
    </row>
    <row r="8" spans="1:20" x14ac:dyDescent="0.25">
      <c r="A8" s="106">
        <v>0</v>
      </c>
      <c r="B8" s="106">
        <v>30</v>
      </c>
      <c r="C8" s="266">
        <f t="shared" ref="C8:C39" si="0">(1+$C$4)^-A8</f>
        <v>1</v>
      </c>
      <c r="D8" s="271"/>
      <c r="E8" s="271"/>
      <c r="F8" s="277">
        <f>C8*D8*$G$4*E8</f>
        <v>0</v>
      </c>
      <c r="G8" s="278"/>
      <c r="H8" s="286"/>
      <c r="I8" s="286"/>
      <c r="J8" s="291"/>
      <c r="K8" s="296"/>
      <c r="L8" s="303">
        <f t="shared" ref="L8:L39" si="1">(1+$C$4)^-(A8+1)</f>
        <v>0.94339622641509424</v>
      </c>
      <c r="M8" s="278">
        <f>L8*D8*$G$4*E8*A8</f>
        <v>0</v>
      </c>
      <c r="N8" s="278"/>
      <c r="O8" s="286"/>
      <c r="P8" s="286"/>
      <c r="Q8" s="291"/>
      <c r="R8" s="296"/>
    </row>
    <row r="9" spans="1:20" x14ac:dyDescent="0.25">
      <c r="A9" s="106">
        <f t="shared" ref="A9:A40" si="2">0.5+A8</f>
        <v>0.5</v>
      </c>
      <c r="B9" s="106">
        <f t="shared" ref="B9:B40" si="3">$B$8+A9</f>
        <v>30.5</v>
      </c>
      <c r="C9" s="266">
        <f t="shared" si="0"/>
        <v>0.97128586235726422</v>
      </c>
      <c r="D9" s="271"/>
      <c r="E9" s="271"/>
      <c r="F9" s="277">
        <f>C9*D9*$G$4*E9</f>
        <v>0</v>
      </c>
      <c r="G9" s="278"/>
      <c r="H9" s="286">
        <f t="shared" ref="H9:H48" si="4">$H$4*C9*$I$4/2</f>
        <v>267.10361214824769</v>
      </c>
      <c r="I9" s="286"/>
      <c r="J9" s="291"/>
      <c r="K9" s="296"/>
      <c r="L9" s="303">
        <f t="shared" si="1"/>
        <v>0.91630741731817356</v>
      </c>
      <c r="M9" s="278">
        <f>L9*D9*$G$4*E9*A9</f>
        <v>0</v>
      </c>
      <c r="N9" s="278"/>
      <c r="O9" s="286">
        <f t="shared" ref="O9:O48" si="5">$H$4*L9*$I$4/2*A9</f>
        <v>125.99226988124887</v>
      </c>
      <c r="P9" s="286"/>
      <c r="Q9" s="291"/>
      <c r="R9" s="296"/>
    </row>
    <row r="10" spans="1:20" x14ac:dyDescent="0.25">
      <c r="A10" s="106">
        <f t="shared" si="2"/>
        <v>1</v>
      </c>
      <c r="B10" s="106">
        <f t="shared" si="3"/>
        <v>31</v>
      </c>
      <c r="C10" s="266">
        <f t="shared" si="0"/>
        <v>0.94339622641509424</v>
      </c>
      <c r="D10" s="271">
        <f>'Q2 Base'!B14</f>
        <v>4.4299999999999998E-4</v>
      </c>
      <c r="E10" s="271">
        <v>1</v>
      </c>
      <c r="F10" s="277">
        <f>C10*D10*$G$4*E10</f>
        <v>626.88679245283015</v>
      </c>
      <c r="G10" s="278"/>
      <c r="H10" s="286">
        <f t="shared" si="4"/>
        <v>259.43396226415092</v>
      </c>
      <c r="I10" s="286"/>
      <c r="J10" s="291"/>
      <c r="K10" s="296"/>
      <c r="L10" s="303">
        <f t="shared" si="1"/>
        <v>0.88999644001423983</v>
      </c>
      <c r="M10" s="278">
        <f>L10*D10*$G$4*E10*A10</f>
        <v>591.40263438946226</v>
      </c>
      <c r="N10" s="278"/>
      <c r="O10" s="286">
        <f t="shared" si="5"/>
        <v>244.74902100391594</v>
      </c>
      <c r="P10" s="286"/>
      <c r="Q10" s="291"/>
      <c r="R10" s="296"/>
    </row>
    <row r="11" spans="1:20" x14ac:dyDescent="0.25">
      <c r="A11" s="106">
        <f t="shared" si="2"/>
        <v>1.5</v>
      </c>
      <c r="B11" s="106">
        <f t="shared" si="3"/>
        <v>31.5</v>
      </c>
      <c r="C11" s="266">
        <f t="shared" si="0"/>
        <v>0.91630741731817356</v>
      </c>
      <c r="D11" s="271"/>
      <c r="E11" s="271"/>
      <c r="F11" s="277"/>
      <c r="G11" s="278"/>
      <c r="H11" s="286">
        <f t="shared" si="4"/>
        <v>251.98453976249775</v>
      </c>
      <c r="I11" s="286"/>
      <c r="J11" s="291"/>
      <c r="K11" s="296"/>
      <c r="L11" s="303">
        <f t="shared" si="1"/>
        <v>0.86444095973412605</v>
      </c>
      <c r="M11" s="278"/>
      <c r="N11" s="278"/>
      <c r="O11" s="286">
        <f t="shared" si="5"/>
        <v>356.58189589032702</v>
      </c>
      <c r="P11" s="286"/>
      <c r="Q11" s="291"/>
      <c r="R11" s="296"/>
    </row>
    <row r="12" spans="1:20" x14ac:dyDescent="0.25">
      <c r="A12" s="106">
        <f t="shared" si="2"/>
        <v>2</v>
      </c>
      <c r="B12" s="106">
        <f t="shared" si="3"/>
        <v>32</v>
      </c>
      <c r="C12" s="266">
        <f t="shared" si="0"/>
        <v>0.88999644001423983</v>
      </c>
      <c r="D12" s="271">
        <f>'Q2 Base'!B15</f>
        <v>4.5600000000000003E-4</v>
      </c>
      <c r="E12" s="271">
        <f>(1-D10)*E10</f>
        <v>0.99955700000000003</v>
      </c>
      <c r="F12" s="277">
        <f>C12*D12*$G$4*E12</f>
        <v>608.48788536845848</v>
      </c>
      <c r="G12" s="278"/>
      <c r="H12" s="286">
        <f t="shared" si="4"/>
        <v>244.74902100391594</v>
      </c>
      <c r="I12" s="286"/>
      <c r="J12" s="291"/>
      <c r="K12" s="296"/>
      <c r="L12" s="303">
        <f t="shared" si="1"/>
        <v>0.8396192830323016</v>
      </c>
      <c r="M12" s="278">
        <f>L12*D12*$G$4*E12*A12</f>
        <v>1148.0903497518082</v>
      </c>
      <c r="N12" s="278"/>
      <c r="O12" s="286">
        <f t="shared" si="5"/>
        <v>461.79060566776587</v>
      </c>
      <c r="P12" s="286"/>
      <c r="Q12" s="291"/>
      <c r="R12" s="296"/>
    </row>
    <row r="13" spans="1:20" x14ac:dyDescent="0.25">
      <c r="A13" s="106">
        <f t="shared" si="2"/>
        <v>2.5</v>
      </c>
      <c r="B13" s="106">
        <f t="shared" si="3"/>
        <v>32.5</v>
      </c>
      <c r="C13" s="266">
        <f t="shared" si="0"/>
        <v>0.86444095973412605</v>
      </c>
      <c r="D13" s="271"/>
      <c r="E13" s="271"/>
      <c r="F13" s="277"/>
      <c r="G13" s="278"/>
      <c r="H13" s="286">
        <f t="shared" si="4"/>
        <v>237.72126392688469</v>
      </c>
      <c r="I13" s="286"/>
      <c r="J13" s="291"/>
      <c r="K13" s="296"/>
      <c r="L13" s="303">
        <f t="shared" si="1"/>
        <v>0.81551033937181705</v>
      </c>
      <c r="M13" s="278"/>
      <c r="N13" s="278"/>
      <c r="O13" s="286">
        <f t="shared" si="5"/>
        <v>560.66335831812421</v>
      </c>
      <c r="P13" s="286"/>
      <c r="Q13" s="291"/>
      <c r="R13" s="296"/>
    </row>
    <row r="14" spans="1:20" x14ac:dyDescent="0.25">
      <c r="A14" s="106">
        <f t="shared" si="2"/>
        <v>3</v>
      </c>
      <c r="B14" s="106">
        <f t="shared" si="3"/>
        <v>33</v>
      </c>
      <c r="C14" s="266">
        <f t="shared" si="0"/>
        <v>0.8396192830323016</v>
      </c>
      <c r="D14" s="271">
        <f>'Q2 Base'!B16</f>
        <v>4.7100000000000001E-4</v>
      </c>
      <c r="E14" s="271">
        <f>(1-D12)*E12</f>
        <v>0.99910120200800001</v>
      </c>
      <c r="F14" s="277">
        <f>C14*D14*$G$4*E14</f>
        <v>592.6578645615607</v>
      </c>
      <c r="G14" s="278"/>
      <c r="H14" s="286">
        <f t="shared" si="4"/>
        <v>230.89530283388294</v>
      </c>
      <c r="I14" s="286"/>
      <c r="J14" s="291"/>
      <c r="K14" s="296"/>
      <c r="L14" s="303">
        <f t="shared" si="1"/>
        <v>0.79209366323802044</v>
      </c>
      <c r="M14" s="278">
        <f>L14*D14*$G$4*E14*A14</f>
        <v>1677.3335789478135</v>
      </c>
      <c r="N14" s="278"/>
      <c r="O14" s="286">
        <f t="shared" si="5"/>
        <v>653.47727217136685</v>
      </c>
      <c r="P14" s="286"/>
      <c r="Q14" s="291"/>
      <c r="R14" s="296"/>
    </row>
    <row r="15" spans="1:20" x14ac:dyDescent="0.25">
      <c r="A15" s="106">
        <f t="shared" si="2"/>
        <v>3.5</v>
      </c>
      <c r="B15" s="106">
        <f t="shared" si="3"/>
        <v>33.5</v>
      </c>
      <c r="C15" s="266">
        <f t="shared" si="0"/>
        <v>0.81551033937181705</v>
      </c>
      <c r="D15" s="271"/>
      <c r="E15" s="271"/>
      <c r="F15" s="277"/>
      <c r="G15" s="278"/>
      <c r="H15" s="286">
        <f t="shared" si="4"/>
        <v>224.2653433272497</v>
      </c>
      <c r="I15" s="286"/>
      <c r="J15" s="291"/>
      <c r="K15" s="296"/>
      <c r="L15" s="303">
        <f t="shared" si="1"/>
        <v>0.76934937676586501</v>
      </c>
      <c r="M15" s="278"/>
      <c r="N15" s="278"/>
      <c r="O15" s="286">
        <f t="shared" si="5"/>
        <v>740.49877513714512</v>
      </c>
      <c r="P15" s="286"/>
      <c r="Q15" s="291"/>
      <c r="R15" s="296"/>
    </row>
    <row r="16" spans="1:20" x14ac:dyDescent="0.25">
      <c r="A16" s="106">
        <f t="shared" si="2"/>
        <v>4</v>
      </c>
      <c r="B16" s="106">
        <f t="shared" si="3"/>
        <v>34</v>
      </c>
      <c r="C16" s="266">
        <f t="shared" si="0"/>
        <v>0.79209366323802044</v>
      </c>
      <c r="D16" s="271">
        <f>'Q2 Base'!B17</f>
        <v>4.8899999999999996E-4</v>
      </c>
      <c r="E16" s="271">
        <f>(1-D14)*E14</f>
        <v>0.99863062534185421</v>
      </c>
      <c r="F16" s="277">
        <f>C16*D16*$G$4*E16</f>
        <v>580.20509434742462</v>
      </c>
      <c r="G16" s="278"/>
      <c r="H16" s="286">
        <f t="shared" si="4"/>
        <v>217.82575739045564</v>
      </c>
      <c r="I16" s="286"/>
      <c r="J16" s="291"/>
      <c r="K16" s="296"/>
      <c r="L16" s="303">
        <f t="shared" si="1"/>
        <v>0.74725817286605689</v>
      </c>
      <c r="M16" s="278">
        <f>L16*D16*$G$4*E16*A16</f>
        <v>2189.4531862166959</v>
      </c>
      <c r="N16" s="278"/>
      <c r="O16" s="286">
        <f t="shared" si="5"/>
        <v>821.98399015266261</v>
      </c>
      <c r="P16" s="286"/>
      <c r="Q16" s="291"/>
      <c r="R16" s="296"/>
    </row>
    <row r="17" spans="1:20" x14ac:dyDescent="0.25">
      <c r="A17" s="106">
        <f t="shared" si="2"/>
        <v>4.5</v>
      </c>
      <c r="B17" s="106">
        <f t="shared" si="3"/>
        <v>34.5</v>
      </c>
      <c r="C17" s="266">
        <f t="shared" si="0"/>
        <v>0.76934937676586501</v>
      </c>
      <c r="D17" s="271"/>
      <c r="E17" s="271"/>
      <c r="F17" s="277"/>
      <c r="G17" s="278"/>
      <c r="H17" s="286">
        <f t="shared" si="4"/>
        <v>211.57107861061289</v>
      </c>
      <c r="I17" s="286"/>
      <c r="J17" s="291"/>
      <c r="K17" s="296"/>
      <c r="L17" s="303">
        <f t="shared" si="1"/>
        <v>0.72580129883572175</v>
      </c>
      <c r="M17" s="278"/>
      <c r="N17" s="278"/>
      <c r="O17" s="286">
        <f t="shared" si="5"/>
        <v>898.17910730920562</v>
      </c>
      <c r="P17" s="286"/>
      <c r="Q17" s="291"/>
      <c r="R17" s="296"/>
    </row>
    <row r="18" spans="1:20" x14ac:dyDescent="0.25">
      <c r="A18" s="106">
        <f t="shared" si="2"/>
        <v>5</v>
      </c>
      <c r="B18" s="106">
        <f t="shared" si="3"/>
        <v>35</v>
      </c>
      <c r="C18" s="266">
        <f t="shared" si="0"/>
        <v>0.74725817286605689</v>
      </c>
      <c r="D18" s="271">
        <f>'Q2 Base'!B18</f>
        <v>5.0799999999999999E-4</v>
      </c>
      <c r="E18" s="271">
        <f>(1-D16)*E16</f>
        <v>0.9981422949660621</v>
      </c>
      <c r="F18" s="277">
        <f>C18*D18*$G$4*E18</f>
        <v>568.35293054866429</v>
      </c>
      <c r="G18" s="278"/>
      <c r="H18" s="286">
        <f t="shared" si="4"/>
        <v>205.49599753816565</v>
      </c>
      <c r="I18" s="286"/>
      <c r="J18" s="291"/>
      <c r="K18" s="296"/>
      <c r="L18" s="303">
        <f t="shared" si="1"/>
        <v>0.70496054043967626</v>
      </c>
      <c r="M18" s="278">
        <f>L18*D18*$G$4*E18*A18</f>
        <v>2680.9100497578511</v>
      </c>
      <c r="N18" s="278"/>
      <c r="O18" s="286">
        <f t="shared" si="5"/>
        <v>969.32074310455494</v>
      </c>
      <c r="P18" s="286"/>
      <c r="Q18" s="291"/>
      <c r="R18" s="296"/>
    </row>
    <row r="19" spans="1:20" x14ac:dyDescent="0.25">
      <c r="A19" s="106">
        <f t="shared" si="2"/>
        <v>5.5</v>
      </c>
      <c r="B19" s="106">
        <f t="shared" si="3"/>
        <v>35.5</v>
      </c>
      <c r="C19" s="266">
        <f t="shared" si="0"/>
        <v>0.72580129883572175</v>
      </c>
      <c r="D19" s="271"/>
      <c r="E19" s="271"/>
      <c r="F19" s="277"/>
      <c r="G19" s="278"/>
      <c r="H19" s="286">
        <f t="shared" si="4"/>
        <v>199.59535717982348</v>
      </c>
      <c r="I19" s="286"/>
      <c r="J19" s="291"/>
      <c r="K19" s="296"/>
      <c r="L19" s="303">
        <f t="shared" si="1"/>
        <v>0.684718206448794</v>
      </c>
      <c r="M19" s="278"/>
      <c r="N19" s="278"/>
      <c r="O19" s="286">
        <f t="shared" si="5"/>
        <v>1035.6362872538009</v>
      </c>
      <c r="P19" s="286"/>
      <c r="Q19" s="291"/>
      <c r="R19" s="296"/>
      <c r="T19" s="124"/>
    </row>
    <row r="20" spans="1:20" x14ac:dyDescent="0.25">
      <c r="A20" s="106">
        <f t="shared" si="2"/>
        <v>6</v>
      </c>
      <c r="B20" s="106">
        <f t="shared" si="3"/>
        <v>36</v>
      </c>
      <c r="C20" s="266">
        <f t="shared" si="0"/>
        <v>0.70496054043967626</v>
      </c>
      <c r="D20" s="271">
        <f>'Q2 Base'!B19</f>
        <v>5.31E-4</v>
      </c>
      <c r="E20" s="271">
        <f>(1-D18)*E18</f>
        <v>0.99763523868021942</v>
      </c>
      <c r="F20" s="277">
        <f>C20*D20*$G$4*E20</f>
        <v>560.17325444776247</v>
      </c>
      <c r="G20" s="278"/>
      <c r="H20" s="286">
        <f t="shared" si="4"/>
        <v>193.86414862091098</v>
      </c>
      <c r="I20" s="286"/>
      <c r="J20" s="291"/>
      <c r="K20" s="296"/>
      <c r="L20" s="303">
        <f t="shared" si="1"/>
        <v>0.66505711362233599</v>
      </c>
      <c r="M20" s="278">
        <f>L20*D20*$G$4*E20*A20</f>
        <v>3170.7920063080887</v>
      </c>
      <c r="N20" s="278"/>
      <c r="O20" s="286">
        <f t="shared" si="5"/>
        <v>1097.3442374768545</v>
      </c>
      <c r="P20" s="286"/>
      <c r="Q20" s="291"/>
      <c r="R20" s="296"/>
    </row>
    <row r="21" spans="1:20" x14ac:dyDescent="0.25">
      <c r="A21" s="106">
        <f t="shared" si="2"/>
        <v>6.5</v>
      </c>
      <c r="B21" s="106">
        <f t="shared" si="3"/>
        <v>36.5</v>
      </c>
      <c r="C21" s="266">
        <f t="shared" si="0"/>
        <v>0.684718206448794</v>
      </c>
      <c r="D21" s="271"/>
      <c r="E21" s="271"/>
      <c r="F21" s="277"/>
      <c r="G21" s="278"/>
      <c r="H21" s="286">
        <f t="shared" si="4"/>
        <v>188.29750677341835</v>
      </c>
      <c r="I21" s="286"/>
      <c r="J21" s="291"/>
      <c r="K21" s="296"/>
      <c r="L21" s="303">
        <f t="shared" si="1"/>
        <v>0.64596057212150371</v>
      </c>
      <c r="M21" s="278"/>
      <c r="N21" s="278"/>
      <c r="O21" s="286">
        <f t="shared" si="5"/>
        <v>1154.6545226671878</v>
      </c>
      <c r="P21" s="286"/>
      <c r="Q21" s="291"/>
      <c r="R21" s="296"/>
    </row>
    <row r="22" spans="1:20" x14ac:dyDescent="0.25">
      <c r="A22" s="106">
        <f t="shared" si="2"/>
        <v>7</v>
      </c>
      <c r="B22" s="106">
        <f t="shared" si="3"/>
        <v>37</v>
      </c>
      <c r="C22" s="266">
        <f t="shared" si="0"/>
        <v>0.66505711362233599</v>
      </c>
      <c r="D22" s="271">
        <f>'Q2 Base'!B20</f>
        <v>5.5599999999999996E-4</v>
      </c>
      <c r="E22" s="271">
        <f>(1-D20)*E20</f>
        <v>0.99710549436848028</v>
      </c>
      <c r="F22" s="277">
        <f>C22*D22*$G$4*E22</f>
        <v>553.05217311943591</v>
      </c>
      <c r="G22" s="278"/>
      <c r="H22" s="286">
        <f t="shared" si="4"/>
        <v>182.8907062461424</v>
      </c>
      <c r="I22" s="286"/>
      <c r="J22" s="291"/>
      <c r="K22" s="296"/>
      <c r="L22" s="303">
        <f t="shared" si="1"/>
        <v>0.62741237134182648</v>
      </c>
      <c r="M22" s="278">
        <f>L22*D22*$G$4*E22*A22</f>
        <v>3652.2313319208042</v>
      </c>
      <c r="N22" s="278"/>
      <c r="O22" s="286">
        <f t="shared" si="5"/>
        <v>1207.768814833016</v>
      </c>
      <c r="P22" s="286"/>
      <c r="Q22" s="291"/>
      <c r="R22" s="296"/>
    </row>
    <row r="23" spans="1:20" x14ac:dyDescent="0.25">
      <c r="A23" s="106">
        <f t="shared" si="2"/>
        <v>7.5</v>
      </c>
      <c r="B23" s="106">
        <f t="shared" si="3"/>
        <v>37.5</v>
      </c>
      <c r="C23" s="266">
        <f t="shared" si="0"/>
        <v>0.64596057212150371</v>
      </c>
      <c r="D23" s="271"/>
      <c r="E23" s="271"/>
      <c r="F23" s="277"/>
      <c r="G23" s="278"/>
      <c r="H23" s="286">
        <f t="shared" si="4"/>
        <v>177.63915733341352</v>
      </c>
      <c r="I23" s="286"/>
      <c r="J23" s="291"/>
      <c r="K23" s="296"/>
      <c r="L23" s="303">
        <f t="shared" si="1"/>
        <v>0.60939676615236205</v>
      </c>
      <c r="M23" s="278"/>
      <c r="N23" s="278"/>
      <c r="O23" s="286">
        <f t="shared" si="5"/>
        <v>1256.8808301892466</v>
      </c>
      <c r="P23" s="286"/>
      <c r="Q23" s="291"/>
      <c r="R23" s="296"/>
    </row>
    <row r="24" spans="1:20" x14ac:dyDescent="0.25">
      <c r="A24" s="106">
        <f t="shared" si="2"/>
        <v>8</v>
      </c>
      <c r="B24" s="106">
        <f t="shared" si="3"/>
        <v>38</v>
      </c>
      <c r="C24" s="266">
        <f t="shared" si="0"/>
        <v>0.62741237134182648</v>
      </c>
      <c r="D24" s="271">
        <f>'Q2 Base'!B21</f>
        <v>5.8500000000000002E-4</v>
      </c>
      <c r="E24" s="271">
        <f>(1-D22)*E22</f>
        <v>0.99655110371361144</v>
      </c>
      <c r="F24" s="277">
        <f>C24*D24*$G$4*E24</f>
        <v>548.65555097909817</v>
      </c>
      <c r="G24" s="278"/>
      <c r="H24" s="286">
        <f t="shared" si="4"/>
        <v>172.53840211900228</v>
      </c>
      <c r="I24" s="286"/>
      <c r="J24" s="291"/>
      <c r="K24" s="296"/>
      <c r="L24" s="303">
        <f t="shared" si="1"/>
        <v>0.59189846353002495</v>
      </c>
      <c r="M24" s="278">
        <f>L24*D24*$G$4*E24*A24</f>
        <v>4140.7966111630049</v>
      </c>
      <c r="N24" s="278"/>
      <c r="O24" s="286">
        <f t="shared" si="5"/>
        <v>1302.176619766055</v>
      </c>
      <c r="P24" s="286"/>
      <c r="Q24" s="291"/>
      <c r="R24" s="296"/>
    </row>
    <row r="25" spans="1:20" x14ac:dyDescent="0.25">
      <c r="A25" s="106">
        <f t="shared" si="2"/>
        <v>8.5</v>
      </c>
      <c r="B25" s="106">
        <f t="shared" si="3"/>
        <v>38.5</v>
      </c>
      <c r="C25" s="266">
        <f t="shared" si="0"/>
        <v>0.60939676615236205</v>
      </c>
      <c r="D25" s="271"/>
      <c r="E25" s="271"/>
      <c r="F25" s="277"/>
      <c r="G25" s="278"/>
      <c r="H25" s="286">
        <f t="shared" si="4"/>
        <v>167.58411069189955</v>
      </c>
      <c r="I25" s="286"/>
      <c r="J25" s="291"/>
      <c r="K25" s="296"/>
      <c r="L25" s="303">
        <f t="shared" si="1"/>
        <v>0.57490260957770001</v>
      </c>
      <c r="M25" s="278"/>
      <c r="N25" s="278"/>
      <c r="O25" s="286">
        <f t="shared" si="5"/>
        <v>1343.8348498878738</v>
      </c>
      <c r="P25" s="286"/>
      <c r="Q25" s="291"/>
      <c r="R25" s="296"/>
    </row>
    <row r="26" spans="1:20" x14ac:dyDescent="0.25">
      <c r="A26" s="106">
        <f t="shared" si="2"/>
        <v>9</v>
      </c>
      <c r="B26" s="106">
        <f t="shared" si="3"/>
        <v>39</v>
      </c>
      <c r="C26" s="266">
        <f t="shared" si="0"/>
        <v>0.59189846353002495</v>
      </c>
      <c r="D26" s="271">
        <f>'Q2 Base'!B22</f>
        <v>6.1700000000000004E-4</v>
      </c>
      <c r="E26" s="271">
        <f>(1-D24)*E24</f>
        <v>0.99596812131793899</v>
      </c>
      <c r="F26" s="277">
        <f>C26*D26*$G$4*E26</f>
        <v>545.59335667836706</v>
      </c>
      <c r="G26" s="278"/>
      <c r="H26" s="286">
        <f t="shared" si="4"/>
        <v>162.77207747075687</v>
      </c>
      <c r="I26" s="286"/>
      <c r="J26" s="291"/>
      <c r="K26" s="296"/>
      <c r="L26" s="303">
        <f t="shared" si="1"/>
        <v>0.55839477691511785</v>
      </c>
      <c r="M26" s="278">
        <f>L26*D26*$G$4*E26*A26</f>
        <v>4632.3964246276446</v>
      </c>
      <c r="N26" s="278"/>
      <c r="O26" s="286">
        <f t="shared" si="5"/>
        <v>1382.0270728649166</v>
      </c>
      <c r="P26" s="286"/>
      <c r="Q26" s="291"/>
      <c r="R26" s="296"/>
    </row>
    <row r="27" spans="1:20" x14ac:dyDescent="0.25">
      <c r="A27" s="106">
        <f t="shared" si="2"/>
        <v>9.5</v>
      </c>
      <c r="B27" s="106">
        <f t="shared" si="3"/>
        <v>39.5</v>
      </c>
      <c r="C27" s="266">
        <f t="shared" si="0"/>
        <v>0.57490260957770001</v>
      </c>
      <c r="D27" s="271"/>
      <c r="E27" s="271"/>
      <c r="F27" s="277"/>
      <c r="G27" s="278"/>
      <c r="H27" s="286">
        <f t="shared" si="4"/>
        <v>158.09821763386751</v>
      </c>
      <c r="I27" s="286"/>
      <c r="J27" s="291"/>
      <c r="K27" s="296"/>
      <c r="L27" s="303">
        <f t="shared" si="1"/>
        <v>0.5423609524317925</v>
      </c>
      <c r="M27" s="278"/>
      <c r="N27" s="278"/>
      <c r="O27" s="286">
        <f t="shared" si="5"/>
        <v>1416.917988228058</v>
      </c>
      <c r="P27" s="286"/>
      <c r="Q27" s="291"/>
      <c r="R27" s="296"/>
    </row>
    <row r="28" spans="1:20" x14ac:dyDescent="0.25">
      <c r="A28" s="106">
        <f t="shared" si="2"/>
        <v>10</v>
      </c>
      <c r="B28" s="106">
        <f t="shared" si="3"/>
        <v>40</v>
      </c>
      <c r="C28" s="266">
        <f t="shared" si="0"/>
        <v>0.55839477691511785</v>
      </c>
      <c r="D28" s="271">
        <f>'Q2 Base'!B23</f>
        <v>6.5399999999999996E-4</v>
      </c>
      <c r="E28" s="271">
        <f>(1-D26)*E26</f>
        <v>0.9953536089870858</v>
      </c>
      <c r="F28" s="277">
        <f>C28*D28*$G$4*E28</f>
        <v>545.24005156960322</v>
      </c>
      <c r="G28" s="278"/>
      <c r="H28" s="286">
        <f t="shared" si="4"/>
        <v>153.55856365165741</v>
      </c>
      <c r="I28" s="286"/>
      <c r="J28" s="291">
        <f>$J$4*C28</f>
        <v>167518.43307453537</v>
      </c>
      <c r="K28" s="296"/>
      <c r="L28" s="303">
        <f t="shared" si="1"/>
        <v>0.52678752539162055</v>
      </c>
      <c r="M28" s="278">
        <f>L28*D28*$G$4*E28*A28</f>
        <v>5143.7740714113497</v>
      </c>
      <c r="N28" s="278"/>
      <c r="O28" s="286">
        <f t="shared" si="5"/>
        <v>1448.6656948269567</v>
      </c>
      <c r="P28" s="286"/>
      <c r="Q28" s="291">
        <f>$J$4*L28*A28</f>
        <v>1580362.5761748618</v>
      </c>
      <c r="R28" s="296"/>
      <c r="T28" s="126"/>
    </row>
    <row r="29" spans="1:20" x14ac:dyDescent="0.25">
      <c r="A29" s="106">
        <f t="shared" si="2"/>
        <v>10.5</v>
      </c>
      <c r="B29" s="106">
        <f t="shared" si="3"/>
        <v>40.5</v>
      </c>
      <c r="C29" s="266">
        <f t="shared" si="0"/>
        <v>0.5423609524317925</v>
      </c>
      <c r="D29" s="271"/>
      <c r="E29" s="271"/>
      <c r="F29" s="277"/>
      <c r="G29" s="278"/>
      <c r="H29" s="286">
        <f t="shared" si="4"/>
        <v>149.14926191874295</v>
      </c>
      <c r="I29" s="286"/>
      <c r="J29" s="291"/>
      <c r="K29" s="296"/>
      <c r="L29" s="303">
        <f t="shared" si="1"/>
        <v>0.51166127587904942</v>
      </c>
      <c r="M29" s="278"/>
      <c r="N29" s="278"/>
      <c r="O29" s="286">
        <f t="shared" si="5"/>
        <v>1477.4219341007552</v>
      </c>
      <c r="P29" s="286"/>
      <c r="Q29" s="291"/>
      <c r="R29" s="296"/>
    </row>
    <row r="30" spans="1:20" x14ac:dyDescent="0.25">
      <c r="A30" s="106">
        <f t="shared" si="2"/>
        <v>11</v>
      </c>
      <c r="B30" s="106">
        <f t="shared" si="3"/>
        <v>41</v>
      </c>
      <c r="C30" s="266">
        <f t="shared" si="0"/>
        <v>0.52678752539162055</v>
      </c>
      <c r="D30" s="271">
        <f>'Q2 Base'!B24</f>
        <v>6.96E-4</v>
      </c>
      <c r="E30" s="271">
        <f>(1-D28)*E28</f>
        <v>0.99470264772680816</v>
      </c>
      <c r="F30" s="277">
        <f>C30*D30*$G$4*E30</f>
        <v>547.05281193354404</v>
      </c>
      <c r="G30" s="278"/>
      <c r="H30" s="286">
        <f t="shared" si="4"/>
        <v>144.86656948269567</v>
      </c>
      <c r="I30" s="286"/>
      <c r="J30" s="291"/>
      <c r="K30" s="296"/>
      <c r="L30" s="303">
        <f t="shared" si="1"/>
        <v>0.4969693635770005</v>
      </c>
      <c r="M30" s="278">
        <f>L30*D30*$G$4*E30*A30</f>
        <v>5676.9631427065888</v>
      </c>
      <c r="N30" s="278"/>
      <c r="O30" s="286">
        <f t="shared" si="5"/>
        <v>1503.3323248204267</v>
      </c>
      <c r="P30" s="286"/>
      <c r="Q30" s="291"/>
      <c r="R30" s="296"/>
    </row>
    <row r="31" spans="1:20" x14ac:dyDescent="0.25">
      <c r="A31" s="106">
        <f t="shared" si="2"/>
        <v>11.5</v>
      </c>
      <c r="B31" s="106">
        <f t="shared" si="3"/>
        <v>41.5</v>
      </c>
      <c r="C31" s="266">
        <f t="shared" si="0"/>
        <v>0.51166127587904942</v>
      </c>
      <c r="D31" s="271"/>
      <c r="E31" s="271"/>
      <c r="F31" s="277"/>
      <c r="G31" s="278"/>
      <c r="H31" s="286">
        <f t="shared" si="4"/>
        <v>140.70685086673859</v>
      </c>
      <c r="I31" s="286"/>
      <c r="J31" s="291"/>
      <c r="K31" s="296"/>
      <c r="L31" s="303">
        <f t="shared" si="1"/>
        <v>0.48269931686702772</v>
      </c>
      <c r="M31" s="278"/>
      <c r="N31" s="278"/>
      <c r="O31" s="286">
        <f t="shared" si="5"/>
        <v>1526.5365895919751</v>
      </c>
      <c r="P31" s="286"/>
      <c r="Q31" s="291"/>
      <c r="R31" s="296"/>
    </row>
    <row r="32" spans="1:20" x14ac:dyDescent="0.25">
      <c r="A32" s="106">
        <f t="shared" si="2"/>
        <v>12</v>
      </c>
      <c r="B32" s="106">
        <f t="shared" si="3"/>
        <v>42</v>
      </c>
      <c r="C32" s="266">
        <f t="shared" si="0"/>
        <v>0.4969693635770005</v>
      </c>
      <c r="D32" s="271">
        <f>'Q2 Base'!B25</f>
        <v>7.4399999999999998E-4</v>
      </c>
      <c r="E32" s="271">
        <f>(1-D30)*E30</f>
        <v>0.99401033468399025</v>
      </c>
      <c r="F32" s="277">
        <f>C32*D32*$G$4*E32</f>
        <v>551.29583469322006</v>
      </c>
      <c r="G32" s="278"/>
      <c r="H32" s="286">
        <f t="shared" si="4"/>
        <v>136.66657498367516</v>
      </c>
      <c r="I32" s="286"/>
      <c r="J32" s="291"/>
      <c r="K32" s="296"/>
      <c r="L32" s="303">
        <f t="shared" si="1"/>
        <v>0.46883902224245327</v>
      </c>
      <c r="M32" s="278">
        <f>L32*D32*$G$4*E32*A32</f>
        <v>6241.0849210553224</v>
      </c>
      <c r="N32" s="278"/>
      <c r="O32" s="286">
        <f t="shared" si="5"/>
        <v>1547.1687734000957</v>
      </c>
      <c r="P32" s="286"/>
      <c r="Q32" s="291"/>
      <c r="R32" s="296"/>
    </row>
    <row r="33" spans="1:20" x14ac:dyDescent="0.25">
      <c r="A33" s="106">
        <f t="shared" si="2"/>
        <v>12.5</v>
      </c>
      <c r="B33" s="106">
        <f t="shared" si="3"/>
        <v>42.5</v>
      </c>
      <c r="C33" s="266">
        <f t="shared" si="0"/>
        <v>0.48269931686702772</v>
      </c>
      <c r="D33" s="271"/>
      <c r="E33" s="271"/>
      <c r="F33" s="277"/>
      <c r="G33" s="278"/>
      <c r="H33" s="286">
        <f t="shared" si="4"/>
        <v>132.74231213843262</v>
      </c>
      <c r="I33" s="286"/>
      <c r="J33" s="291"/>
      <c r="K33" s="296"/>
      <c r="L33" s="303">
        <f t="shared" si="1"/>
        <v>0.45537671402549784</v>
      </c>
      <c r="M33" s="278"/>
      <c r="N33" s="278"/>
      <c r="O33" s="286">
        <f t="shared" si="5"/>
        <v>1565.3574544626488</v>
      </c>
      <c r="P33" s="286"/>
      <c r="Q33" s="291"/>
      <c r="R33" s="296"/>
    </row>
    <row r="34" spans="1:20" x14ac:dyDescent="0.25">
      <c r="A34" s="106">
        <f t="shared" si="2"/>
        <v>13</v>
      </c>
      <c r="B34" s="106">
        <f t="shared" si="3"/>
        <v>43</v>
      </c>
      <c r="C34" s="266">
        <f t="shared" si="0"/>
        <v>0.46883902224245327</v>
      </c>
      <c r="D34" s="271">
        <f>'Q2 Base'!B26</f>
        <v>7.9799999999999999E-4</v>
      </c>
      <c r="E34" s="271">
        <f>(1-D32)*E32</f>
        <v>0.99327079099498539</v>
      </c>
      <c r="F34" s="277">
        <f>C34*D34*$G$4*E34</f>
        <v>557.42387544707628</v>
      </c>
      <c r="G34" s="278"/>
      <c r="H34" s="286">
        <f t="shared" si="4"/>
        <v>128.93073111667465</v>
      </c>
      <c r="I34" s="286"/>
      <c r="J34" s="291"/>
      <c r="K34" s="296"/>
      <c r="L34" s="303">
        <f t="shared" si="1"/>
        <v>0.44230096437967292</v>
      </c>
      <c r="M34" s="278">
        <f>L34*D34*$G$4*E34*A34</f>
        <v>6836.3305479358414</v>
      </c>
      <c r="N34" s="278"/>
      <c r="O34" s="286">
        <f t="shared" si="5"/>
        <v>1581.2259476573308</v>
      </c>
      <c r="P34" s="286"/>
      <c r="Q34" s="291"/>
      <c r="R34" s="296"/>
    </row>
    <row r="35" spans="1:20" x14ac:dyDescent="0.25">
      <c r="A35" s="106">
        <f t="shared" si="2"/>
        <v>13.5</v>
      </c>
      <c r="B35" s="106">
        <f t="shared" si="3"/>
        <v>43.5</v>
      </c>
      <c r="C35" s="266">
        <f t="shared" si="0"/>
        <v>0.45537671402549784</v>
      </c>
      <c r="D35" s="271"/>
      <c r="E35" s="271"/>
      <c r="F35" s="277"/>
      <c r="G35" s="278"/>
      <c r="H35" s="286">
        <f t="shared" si="4"/>
        <v>125.22859635701191</v>
      </c>
      <c r="I35" s="286"/>
      <c r="J35" s="291"/>
      <c r="K35" s="296"/>
      <c r="L35" s="303">
        <f t="shared" si="1"/>
        <v>0.42960067360896026</v>
      </c>
      <c r="M35" s="278"/>
      <c r="N35" s="278"/>
      <c r="O35" s="286">
        <f t="shared" si="5"/>
        <v>1594.8925007732651</v>
      </c>
      <c r="P35" s="286"/>
      <c r="Q35" s="291"/>
      <c r="R35" s="296"/>
    </row>
    <row r="36" spans="1:20" x14ac:dyDescent="0.25">
      <c r="A36" s="106">
        <f t="shared" si="2"/>
        <v>14</v>
      </c>
      <c r="B36" s="106">
        <f t="shared" si="3"/>
        <v>44</v>
      </c>
      <c r="C36" s="266">
        <f t="shared" si="0"/>
        <v>0.44230096437967292</v>
      </c>
      <c r="D36" s="271">
        <f>'Q2 Base'!B27</f>
        <v>8.5999999999999998E-4</v>
      </c>
      <c r="E36" s="271">
        <f>(1-D34)*E34</f>
        <v>0.99247816090377139</v>
      </c>
      <c r="F36" s="277">
        <f>C36*D36*$G$4*E36</f>
        <v>566.27652152461792</v>
      </c>
      <c r="G36" s="278"/>
      <c r="H36" s="286">
        <f t="shared" si="4"/>
        <v>121.63276520441006</v>
      </c>
      <c r="I36" s="286"/>
      <c r="J36" s="291"/>
      <c r="K36" s="296"/>
      <c r="L36" s="303">
        <f t="shared" si="1"/>
        <v>0.41726506073554037</v>
      </c>
      <c r="M36" s="278">
        <f>L36*D36*$G$4*E36*A36</f>
        <v>7479.1238691930648</v>
      </c>
      <c r="N36" s="278"/>
      <c r="O36" s="286">
        <f t="shared" si="5"/>
        <v>1606.4704838318305</v>
      </c>
      <c r="P36" s="286"/>
      <c r="Q36" s="291"/>
      <c r="R36" s="296"/>
      <c r="T36" s="124"/>
    </row>
    <row r="37" spans="1:20" x14ac:dyDescent="0.25">
      <c r="A37" s="106">
        <f t="shared" si="2"/>
        <v>14.5</v>
      </c>
      <c r="B37" s="106">
        <f t="shared" si="3"/>
        <v>44.5</v>
      </c>
      <c r="C37" s="266">
        <f t="shared" si="0"/>
        <v>0.42960067360896026</v>
      </c>
      <c r="D37" s="271"/>
      <c r="E37" s="271"/>
      <c r="F37" s="277"/>
      <c r="G37" s="278"/>
      <c r="H37" s="286">
        <f t="shared" si="4"/>
        <v>118.14018524246407</v>
      </c>
      <c r="I37" s="286"/>
      <c r="J37" s="291"/>
      <c r="K37" s="296"/>
      <c r="L37" s="303">
        <f t="shared" si="1"/>
        <v>0.40528365434807562</v>
      </c>
      <c r="M37" s="278"/>
      <c r="N37" s="278"/>
      <c r="O37" s="286">
        <f t="shared" si="5"/>
        <v>1616.0685717129516</v>
      </c>
      <c r="P37" s="286"/>
      <c r="Q37" s="291"/>
      <c r="R37" s="296"/>
    </row>
    <row r="38" spans="1:20" x14ac:dyDescent="0.25">
      <c r="A38" s="106">
        <f t="shared" si="2"/>
        <v>15</v>
      </c>
      <c r="B38" s="106">
        <f t="shared" si="3"/>
        <v>45</v>
      </c>
      <c r="C38" s="266">
        <f t="shared" si="0"/>
        <v>0.41726506073554037</v>
      </c>
      <c r="D38" s="271">
        <f>'Q2 Base'!B28</f>
        <v>9.2900000000000003E-4</v>
      </c>
      <c r="E38" s="271">
        <f>(1-D36)*E36</f>
        <v>0.99162462968539422</v>
      </c>
      <c r="F38" s="277">
        <f>C38*D38*$G$4*E38</f>
        <v>576.58892884188572</v>
      </c>
      <c r="G38" s="278"/>
      <c r="H38" s="286">
        <f t="shared" si="4"/>
        <v>114.74789170227361</v>
      </c>
      <c r="I38" s="286"/>
      <c r="J38" s="291"/>
      <c r="K38" s="296"/>
      <c r="L38" s="303">
        <f t="shared" si="1"/>
        <v>0.39364628371277405</v>
      </c>
      <c r="M38" s="278">
        <f>L38*D38*$G$4*E38*A38</f>
        <v>8159.2772949323471</v>
      </c>
      <c r="N38" s="278"/>
      <c r="O38" s="286">
        <f t="shared" si="5"/>
        <v>1623.790920315193</v>
      </c>
      <c r="P38" s="286"/>
      <c r="Q38" s="291"/>
      <c r="R38" s="296"/>
    </row>
    <row r="39" spans="1:20" x14ac:dyDescent="0.25">
      <c r="A39" s="106">
        <f t="shared" si="2"/>
        <v>15.5</v>
      </c>
      <c r="B39" s="106">
        <f t="shared" si="3"/>
        <v>45.5</v>
      </c>
      <c r="C39" s="266">
        <f t="shared" si="0"/>
        <v>0.40528365434807562</v>
      </c>
      <c r="D39" s="271"/>
      <c r="E39" s="271"/>
      <c r="F39" s="277"/>
      <c r="G39" s="278"/>
      <c r="H39" s="286">
        <f t="shared" si="4"/>
        <v>111.45300494572079</v>
      </c>
      <c r="I39" s="286"/>
      <c r="J39" s="291"/>
      <c r="K39" s="296"/>
      <c r="L39" s="303">
        <f t="shared" si="1"/>
        <v>0.38234307013969404</v>
      </c>
      <c r="M39" s="278"/>
      <c r="N39" s="278"/>
      <c r="O39" s="286">
        <f t="shared" si="5"/>
        <v>1629.7373364704458</v>
      </c>
      <c r="P39" s="286"/>
      <c r="Q39" s="291"/>
      <c r="R39" s="296"/>
    </row>
    <row r="40" spans="1:20" x14ac:dyDescent="0.25">
      <c r="A40" s="106">
        <f t="shared" si="2"/>
        <v>16</v>
      </c>
      <c r="B40" s="106">
        <f t="shared" si="3"/>
        <v>46</v>
      </c>
      <c r="C40" s="266">
        <f t="shared" ref="C40:C58" si="6">(1+$C$4)^-A40</f>
        <v>0.39364628371277405</v>
      </c>
      <c r="D40" s="271">
        <f>'Q2 Base'!B29</f>
        <v>1.008E-3</v>
      </c>
      <c r="E40" s="271">
        <f>(1-D38)*E38</f>
        <v>0.99070341040441656</v>
      </c>
      <c r="F40" s="277">
        <f>C40*D40*$G$4*E40</f>
        <v>589.6599142401119</v>
      </c>
      <c r="G40" s="278"/>
      <c r="H40" s="286">
        <f t="shared" si="4"/>
        <v>108.25272802101287</v>
      </c>
      <c r="I40" s="286"/>
      <c r="J40" s="291"/>
      <c r="K40" s="296"/>
      <c r="L40" s="303">
        <f t="shared" ref="L40:L58" si="7">(1+$C$4)^-(A40+1)</f>
        <v>0.37136441859695657</v>
      </c>
      <c r="M40" s="278">
        <f>L40*D40*$G$4*E40*A40</f>
        <v>8900.5270073979136</v>
      </c>
      <c r="N40" s="278"/>
      <c r="O40" s="286">
        <f t="shared" si="5"/>
        <v>1634.0034418266089</v>
      </c>
      <c r="P40" s="286"/>
      <c r="Q40" s="291"/>
      <c r="R40" s="296"/>
    </row>
    <row r="41" spans="1:20" x14ac:dyDescent="0.25">
      <c r="A41" s="106">
        <f t="shared" ref="A41:A58" si="8">0.5+A40</f>
        <v>16.5</v>
      </c>
      <c r="B41" s="106">
        <f t="shared" ref="B41:B58" si="9">$B$8+A41</f>
        <v>46.5</v>
      </c>
      <c r="C41" s="266">
        <f t="shared" si="6"/>
        <v>0.38234307013969404</v>
      </c>
      <c r="D41" s="271"/>
      <c r="E41" s="271"/>
      <c r="F41" s="277"/>
      <c r="G41" s="278"/>
      <c r="H41" s="286">
        <f t="shared" si="4"/>
        <v>105.14434428841587</v>
      </c>
      <c r="I41" s="286"/>
      <c r="J41" s="291"/>
      <c r="K41" s="296"/>
      <c r="L41" s="303">
        <f t="shared" si="7"/>
        <v>0.36070100956574902</v>
      </c>
      <c r="M41" s="278"/>
      <c r="N41" s="278"/>
      <c r="O41" s="286">
        <f t="shared" si="5"/>
        <v>1636.6808309045864</v>
      </c>
      <c r="P41" s="286"/>
      <c r="Q41" s="291"/>
      <c r="R41" s="296"/>
    </row>
    <row r="42" spans="1:20" x14ac:dyDescent="0.25">
      <c r="A42" s="106">
        <f t="shared" si="8"/>
        <v>17</v>
      </c>
      <c r="B42" s="106">
        <f t="shared" si="9"/>
        <v>47</v>
      </c>
      <c r="C42" s="266">
        <f t="shared" si="6"/>
        <v>0.37136441859695657</v>
      </c>
      <c r="D42" s="271">
        <f>'Q2 Base'!B30</f>
        <v>1.098E-3</v>
      </c>
      <c r="E42" s="271">
        <f>(1-D40)*E40</f>
        <v>0.9897047813667289</v>
      </c>
      <c r="F42" s="277">
        <f>C42*D42*$G$4*E42</f>
        <v>605.34025875741281</v>
      </c>
      <c r="G42" s="278"/>
      <c r="H42" s="286">
        <f t="shared" si="4"/>
        <v>102.12521511416305</v>
      </c>
      <c r="I42" s="286"/>
      <c r="J42" s="291"/>
      <c r="K42" s="296"/>
      <c r="L42" s="303">
        <f t="shared" si="7"/>
        <v>0.35034379112920433</v>
      </c>
      <c r="M42" s="278">
        <f>L42*D42*$G$4*E42*A42</f>
        <v>9708.2871687509596</v>
      </c>
      <c r="N42" s="278"/>
      <c r="O42" s="286">
        <f t="shared" si="5"/>
        <v>1637.8572235290303</v>
      </c>
      <c r="P42" s="286"/>
      <c r="Q42" s="291"/>
      <c r="R42" s="296"/>
    </row>
    <row r="43" spans="1:20" x14ac:dyDescent="0.25">
      <c r="A43" s="106">
        <f t="shared" si="8"/>
        <v>17.5</v>
      </c>
      <c r="B43" s="106">
        <f t="shared" si="9"/>
        <v>47.5</v>
      </c>
      <c r="C43" s="266">
        <f t="shared" si="6"/>
        <v>0.36070100956574902</v>
      </c>
      <c r="D43" s="271"/>
      <c r="E43" s="271"/>
      <c r="F43" s="277"/>
      <c r="G43" s="278"/>
      <c r="H43" s="286">
        <f t="shared" si="4"/>
        <v>99.192777630580991</v>
      </c>
      <c r="I43" s="286"/>
      <c r="J43" s="291"/>
      <c r="K43" s="296"/>
      <c r="L43" s="303">
        <f t="shared" si="7"/>
        <v>0.34028397128844246</v>
      </c>
      <c r="M43" s="278"/>
      <c r="N43" s="278"/>
      <c r="O43" s="286">
        <f t="shared" si="5"/>
        <v>1637.6166118256294</v>
      </c>
      <c r="P43" s="286"/>
      <c r="Q43" s="291"/>
      <c r="R43" s="296"/>
    </row>
    <row r="44" spans="1:20" x14ac:dyDescent="0.25">
      <c r="A44" s="106">
        <f t="shared" si="8"/>
        <v>18</v>
      </c>
      <c r="B44" s="106">
        <f t="shared" si="9"/>
        <v>48</v>
      </c>
      <c r="C44" s="266">
        <f t="shared" si="6"/>
        <v>0.35034379112920433</v>
      </c>
      <c r="D44" s="271">
        <f>'Q2 Base'!B31</f>
        <v>1.1999999999999999E-3</v>
      </c>
      <c r="E44" s="271">
        <f>(1-D42)*E42</f>
        <v>0.9886180855167882</v>
      </c>
      <c r="F44" s="277">
        <f>C44*D44*$G$4*E44</f>
        <v>623.44117450592546</v>
      </c>
      <c r="G44" s="278"/>
      <c r="H44" s="286">
        <f t="shared" si="4"/>
        <v>96.344542560531195</v>
      </c>
      <c r="I44" s="286"/>
      <c r="J44" s="291"/>
      <c r="K44" s="296"/>
      <c r="L44" s="303">
        <f t="shared" si="7"/>
        <v>0.3305130104992493</v>
      </c>
      <c r="M44" s="278">
        <f>L44*D44*$G$4*E44*A44</f>
        <v>10586.736925572317</v>
      </c>
      <c r="N44" s="278"/>
      <c r="O44" s="286">
        <f t="shared" si="5"/>
        <v>1636.0394019712842</v>
      </c>
      <c r="P44" s="286"/>
      <c r="Q44" s="291"/>
      <c r="R44" s="296"/>
    </row>
    <row r="45" spans="1:20" x14ac:dyDescent="0.25">
      <c r="A45" s="106">
        <f t="shared" si="8"/>
        <v>18.5</v>
      </c>
      <c r="B45" s="106">
        <f t="shared" si="9"/>
        <v>48.5</v>
      </c>
      <c r="C45" s="266">
        <f t="shared" si="6"/>
        <v>0.34028397128844246</v>
      </c>
      <c r="D45" s="271"/>
      <c r="E45" s="271"/>
      <c r="F45" s="277"/>
      <c r="G45" s="278"/>
      <c r="H45" s="286">
        <f t="shared" si="4"/>
        <v>93.578092104321684</v>
      </c>
      <c r="I45" s="286"/>
      <c r="J45" s="291"/>
      <c r="K45" s="296"/>
      <c r="L45" s="303">
        <f t="shared" si="7"/>
        <v>0.32102261442305891</v>
      </c>
      <c r="M45" s="278"/>
      <c r="N45" s="278"/>
      <c r="O45" s="286">
        <f t="shared" si="5"/>
        <v>1633.2025508773122</v>
      </c>
      <c r="P45" s="286"/>
      <c r="Q45" s="291"/>
      <c r="R45" s="296"/>
    </row>
    <row r="46" spans="1:20" x14ac:dyDescent="0.25">
      <c r="A46" s="106">
        <f t="shared" si="8"/>
        <v>19</v>
      </c>
      <c r="B46" s="106">
        <f t="shared" si="9"/>
        <v>49</v>
      </c>
      <c r="C46" s="266">
        <f t="shared" si="6"/>
        <v>0.3305130104992493</v>
      </c>
      <c r="D46" s="271">
        <f>'Q2 Base'!B32</f>
        <v>1.315E-3</v>
      </c>
      <c r="E46" s="271">
        <f>(1-D44)*E44</f>
        <v>0.98743174381416809</v>
      </c>
      <c r="F46" s="277">
        <f>C46*D46*$G$4*E46</f>
        <v>643.74320306754839</v>
      </c>
      <c r="G46" s="278"/>
      <c r="H46" s="286">
        <f t="shared" si="4"/>
        <v>90.891077887293562</v>
      </c>
      <c r="I46" s="286"/>
      <c r="J46" s="291"/>
      <c r="K46" s="296"/>
      <c r="L46" s="303">
        <f t="shared" si="7"/>
        <v>0.31180472688608429</v>
      </c>
      <c r="M46" s="278">
        <f>L46*D46*$G$4*E46*A46</f>
        <v>11538.79326253153</v>
      </c>
      <c r="N46" s="278"/>
      <c r="O46" s="286">
        <f t="shared" si="5"/>
        <v>1629.1796979797905</v>
      </c>
      <c r="P46" s="286"/>
      <c r="Q46" s="291"/>
      <c r="R46" s="296"/>
    </row>
    <row r="47" spans="1:20" x14ac:dyDescent="0.25">
      <c r="A47" s="106">
        <f t="shared" si="8"/>
        <v>19.5</v>
      </c>
      <c r="B47" s="106">
        <f t="shared" si="9"/>
        <v>49.5</v>
      </c>
      <c r="C47" s="266">
        <f t="shared" si="6"/>
        <v>0.32102261442305891</v>
      </c>
      <c r="D47" s="271"/>
      <c r="E47" s="271"/>
      <c r="F47" s="277"/>
      <c r="G47" s="278"/>
      <c r="H47" s="286">
        <f t="shared" si="4"/>
        <v>88.2812189663412</v>
      </c>
      <c r="I47" s="286"/>
      <c r="J47" s="291"/>
      <c r="K47" s="296"/>
      <c r="L47" s="303">
        <f t="shared" si="7"/>
        <v>0.30285152304062163</v>
      </c>
      <c r="M47" s="278"/>
      <c r="N47" s="278"/>
      <c r="O47" s="286">
        <f t="shared" si="5"/>
        <v>1624.0412923053339</v>
      </c>
      <c r="P47" s="286"/>
      <c r="Q47" s="291"/>
      <c r="R47" s="296"/>
    </row>
    <row r="48" spans="1:20" x14ac:dyDescent="0.25">
      <c r="A48" s="106">
        <f t="shared" si="8"/>
        <v>20</v>
      </c>
      <c r="B48" s="106">
        <f t="shared" si="9"/>
        <v>50</v>
      </c>
      <c r="C48" s="266">
        <f t="shared" si="6"/>
        <v>0.31180472688608429</v>
      </c>
      <c r="D48" s="271">
        <f>'Q2 Base'!B33</f>
        <v>1.4469999999999999E-3</v>
      </c>
      <c r="E48" s="271">
        <f>(1-D46)*E46</f>
        <v>0.98613327107105253</v>
      </c>
      <c r="F48" s="277">
        <f>C48*D48*$G$4*E48</f>
        <v>667.38754362094107</v>
      </c>
      <c r="G48" s="278">
        <f>C48*E48*$G$4*(1-D48)</f>
        <v>460554.13534576475</v>
      </c>
      <c r="H48" s="286">
        <f t="shared" si="4"/>
        <v>85.746299893673182</v>
      </c>
      <c r="I48" s="286">
        <f>$H$4*$I$3*C48</f>
        <v>18006.722977671368</v>
      </c>
      <c r="J48" s="291"/>
      <c r="K48" s="296"/>
      <c r="L48" s="303">
        <f t="shared" si="7"/>
        <v>0.29415540272272095</v>
      </c>
      <c r="M48" s="278">
        <f>L48*D48*$G$4*E48*A48</f>
        <v>12592.217804168695</v>
      </c>
      <c r="N48" s="278">
        <f>L48*E48*$G$4*(1-D48)*A48</f>
        <v>8689700.6669012196</v>
      </c>
      <c r="O48" s="286">
        <f t="shared" si="5"/>
        <v>1617.8547149749652</v>
      </c>
      <c r="P48" s="286">
        <f>$H$4*$I$3*L48*A48</f>
        <v>339749.49014474265</v>
      </c>
      <c r="Q48" s="291"/>
      <c r="R48" s="296"/>
    </row>
    <row r="49" spans="1:18" x14ac:dyDescent="0.25">
      <c r="A49" s="106">
        <f t="shared" si="8"/>
        <v>20.5</v>
      </c>
      <c r="B49" s="106">
        <f t="shared" si="9"/>
        <v>50.5</v>
      </c>
      <c r="C49" s="266">
        <f t="shared" si="6"/>
        <v>0.30285152304062163</v>
      </c>
      <c r="D49" s="271"/>
      <c r="E49" s="271"/>
      <c r="F49" s="277"/>
      <c r="G49" s="278"/>
      <c r="H49" s="284"/>
      <c r="I49" s="284"/>
      <c r="J49" s="291"/>
      <c r="K49" s="296"/>
      <c r="L49" s="303">
        <f t="shared" si="7"/>
        <v>0.28570898400058636</v>
      </c>
      <c r="M49" s="278"/>
      <c r="N49" s="278"/>
      <c r="O49" s="286"/>
      <c r="P49" s="284"/>
      <c r="Q49" s="291"/>
      <c r="R49" s="296"/>
    </row>
    <row r="50" spans="1:18" x14ac:dyDescent="0.25">
      <c r="A50" s="106">
        <f t="shared" si="8"/>
        <v>21</v>
      </c>
      <c r="B50" s="106">
        <f t="shared" si="9"/>
        <v>51</v>
      </c>
      <c r="C50" s="266">
        <f t="shared" si="6"/>
        <v>0.29415540272272095</v>
      </c>
      <c r="D50" s="271"/>
      <c r="E50" s="271"/>
      <c r="F50" s="277"/>
      <c r="G50" s="278"/>
      <c r="H50" s="286"/>
      <c r="I50" s="286"/>
      <c r="J50" s="291"/>
      <c r="K50" s="296"/>
      <c r="L50" s="303">
        <f t="shared" si="7"/>
        <v>0.27750509690822728</v>
      </c>
      <c r="M50" s="278"/>
      <c r="N50" s="278"/>
      <c r="O50" s="286"/>
      <c r="P50" s="286"/>
      <c r="Q50" s="291"/>
      <c r="R50" s="296"/>
    </row>
    <row r="51" spans="1:18" x14ac:dyDescent="0.25">
      <c r="A51" s="106">
        <f t="shared" si="8"/>
        <v>21.5</v>
      </c>
      <c r="B51" s="106">
        <f t="shared" si="9"/>
        <v>51.5</v>
      </c>
      <c r="C51" s="266">
        <f t="shared" si="6"/>
        <v>0.28570898400058636</v>
      </c>
      <c r="D51" s="271"/>
      <c r="E51" s="271"/>
      <c r="F51" s="277"/>
      <c r="G51" s="278"/>
      <c r="H51" s="286"/>
      <c r="I51" s="286"/>
      <c r="J51" s="291"/>
      <c r="K51" s="296"/>
      <c r="L51" s="303">
        <f t="shared" si="7"/>
        <v>0.26953677735904374</v>
      </c>
      <c r="M51" s="278"/>
      <c r="N51" s="278"/>
      <c r="O51" s="286"/>
      <c r="P51" s="286"/>
      <c r="Q51" s="291"/>
      <c r="R51" s="296"/>
    </row>
    <row r="52" spans="1:18" x14ac:dyDescent="0.25">
      <c r="A52" s="106">
        <f t="shared" si="8"/>
        <v>22</v>
      </c>
      <c r="B52" s="106">
        <f t="shared" si="9"/>
        <v>52</v>
      </c>
      <c r="C52" s="266">
        <f t="shared" si="6"/>
        <v>0.27750509690822728</v>
      </c>
      <c r="D52" s="271"/>
      <c r="E52" s="271"/>
      <c r="F52" s="277"/>
      <c r="G52" s="278"/>
      <c r="H52" s="284"/>
      <c r="I52" s="284"/>
      <c r="J52" s="291"/>
      <c r="K52" s="296"/>
      <c r="L52" s="303">
        <f t="shared" si="7"/>
        <v>0.26179726123417668</v>
      </c>
      <c r="M52" s="278"/>
      <c r="N52" s="278"/>
      <c r="O52" s="284"/>
      <c r="P52" s="284"/>
      <c r="Q52" s="291"/>
      <c r="R52" s="296"/>
    </row>
    <row r="53" spans="1:18" x14ac:dyDescent="0.25">
      <c r="A53" s="106">
        <f t="shared" si="8"/>
        <v>22.5</v>
      </c>
      <c r="B53" s="106">
        <f t="shared" si="9"/>
        <v>52.5</v>
      </c>
      <c r="C53" s="266">
        <f t="shared" si="6"/>
        <v>0.26953677735904374</v>
      </c>
      <c r="D53" s="271"/>
      <c r="E53" s="271"/>
      <c r="F53" s="277"/>
      <c r="G53" s="278"/>
      <c r="H53" s="284"/>
      <c r="I53" s="284"/>
      <c r="J53" s="291"/>
      <c r="K53" s="296"/>
      <c r="L53" s="303">
        <f t="shared" si="7"/>
        <v>0.25427997864060731</v>
      </c>
      <c r="M53" s="278"/>
      <c r="N53" s="278"/>
      <c r="O53" s="284"/>
      <c r="P53" s="284"/>
      <c r="Q53" s="291"/>
      <c r="R53" s="296"/>
    </row>
    <row r="54" spans="1:18" x14ac:dyDescent="0.25">
      <c r="A54" s="106">
        <f t="shared" si="8"/>
        <v>23</v>
      </c>
      <c r="B54" s="106">
        <f t="shared" si="9"/>
        <v>53</v>
      </c>
      <c r="C54" s="266">
        <f t="shared" si="6"/>
        <v>0.26179726123417668</v>
      </c>
      <c r="D54" s="271"/>
      <c r="E54" s="271"/>
      <c r="F54" s="277"/>
      <c r="G54" s="278"/>
      <c r="H54" s="284"/>
      <c r="I54" s="284"/>
      <c r="J54" s="291"/>
      <c r="K54" s="296"/>
      <c r="L54" s="303">
        <f t="shared" si="7"/>
        <v>0.24697854833412897</v>
      </c>
      <c r="M54" s="278"/>
      <c r="N54" s="278"/>
      <c r="O54" s="284"/>
      <c r="P54" s="284"/>
      <c r="Q54" s="291"/>
      <c r="R54" s="296"/>
    </row>
    <row r="55" spans="1:18" x14ac:dyDescent="0.25">
      <c r="A55" s="106">
        <f t="shared" si="8"/>
        <v>23.5</v>
      </c>
      <c r="B55" s="106">
        <f t="shared" si="9"/>
        <v>53.5</v>
      </c>
      <c r="C55" s="266">
        <f t="shared" si="6"/>
        <v>0.25427997864060731</v>
      </c>
      <c r="D55" s="271"/>
      <c r="E55" s="271"/>
      <c r="F55" s="277"/>
      <c r="G55" s="278"/>
      <c r="H55" s="284"/>
      <c r="I55" s="284"/>
      <c r="J55" s="291"/>
      <c r="K55" s="296"/>
      <c r="L55" s="303">
        <f t="shared" si="7"/>
        <v>0.23988677230245972</v>
      </c>
      <c r="M55" s="278"/>
      <c r="N55" s="278"/>
      <c r="O55" s="284"/>
      <c r="P55" s="284"/>
      <c r="Q55" s="291"/>
      <c r="R55" s="296"/>
    </row>
    <row r="56" spans="1:18" x14ac:dyDescent="0.25">
      <c r="A56" s="106">
        <f t="shared" si="8"/>
        <v>24</v>
      </c>
      <c r="B56" s="106">
        <f t="shared" si="9"/>
        <v>54</v>
      </c>
      <c r="C56" s="266">
        <f t="shared" si="6"/>
        <v>0.24697854833412897</v>
      </c>
      <c r="D56" s="271"/>
      <c r="E56" s="271"/>
      <c r="F56" s="277"/>
      <c r="G56" s="278"/>
      <c r="H56" s="284"/>
      <c r="I56" s="284"/>
      <c r="J56" s="291"/>
      <c r="K56" s="296"/>
      <c r="L56" s="303">
        <f t="shared" si="7"/>
        <v>0.23299863050389524</v>
      </c>
      <c r="M56" s="278"/>
      <c r="N56" s="278"/>
      <c r="O56" s="284"/>
      <c r="P56" s="284"/>
      <c r="Q56" s="291"/>
      <c r="R56" s="296"/>
    </row>
    <row r="57" spans="1:18" x14ac:dyDescent="0.25">
      <c r="A57" s="106">
        <f t="shared" si="8"/>
        <v>24.5</v>
      </c>
      <c r="B57" s="106">
        <f t="shared" si="9"/>
        <v>54.5</v>
      </c>
      <c r="C57" s="266">
        <f t="shared" si="6"/>
        <v>0.23988677230245972</v>
      </c>
      <c r="D57" s="271"/>
      <c r="E57" s="271"/>
      <c r="F57" s="277"/>
      <c r="G57" s="278"/>
      <c r="H57" s="284"/>
      <c r="I57" s="284"/>
      <c r="J57" s="291"/>
      <c r="K57" s="296"/>
      <c r="L57" s="303">
        <f t="shared" si="7"/>
        <v>0.22630827575703746</v>
      </c>
      <c r="M57" s="278"/>
      <c r="N57" s="278"/>
      <c r="O57" s="284"/>
      <c r="P57" s="284"/>
      <c r="Q57" s="291"/>
      <c r="R57" s="296"/>
    </row>
    <row r="58" spans="1:18" x14ac:dyDescent="0.25">
      <c r="A58" s="106">
        <f t="shared" si="8"/>
        <v>25</v>
      </c>
      <c r="B58" s="106">
        <f t="shared" si="9"/>
        <v>55</v>
      </c>
      <c r="C58" s="266">
        <f t="shared" si="6"/>
        <v>0.23299863050389524</v>
      </c>
      <c r="D58" s="271"/>
      <c r="E58" s="271"/>
      <c r="F58" s="277"/>
      <c r="G58" s="278"/>
      <c r="H58" s="284"/>
      <c r="I58" s="284"/>
      <c r="J58" s="291"/>
      <c r="K58" s="296">
        <f>$K$4*C58</f>
        <v>280284.77057013876</v>
      </c>
      <c r="L58" s="303">
        <f t="shared" si="7"/>
        <v>0.21981002877725966</v>
      </c>
      <c r="M58" s="278"/>
      <c r="N58" s="278"/>
      <c r="O58" s="284"/>
      <c r="P58" s="284"/>
      <c r="Q58" s="291"/>
      <c r="R58" s="296">
        <f>$K$4*L58*A58</f>
        <v>6610489.871937234</v>
      </c>
    </row>
    <row r="59" spans="1:18" x14ac:dyDescent="0.25">
      <c r="D59" s="271"/>
      <c r="E59" s="271"/>
      <c r="F59" s="276"/>
      <c r="G59" s="271"/>
      <c r="H59" s="284"/>
      <c r="I59" s="284"/>
      <c r="J59" s="290"/>
      <c r="K59" s="295"/>
      <c r="L59" s="117"/>
      <c r="M59" s="271"/>
      <c r="N59" s="271"/>
      <c r="O59" s="284"/>
      <c r="P59" s="284"/>
      <c r="Q59" s="290"/>
      <c r="R59" s="295"/>
    </row>
    <row r="60" spans="1:18" x14ac:dyDescent="0.25">
      <c r="D60" s="271"/>
      <c r="E60" s="279" t="s">
        <v>118</v>
      </c>
      <c r="F60" s="280">
        <f t="shared" ref="F60:K60" si="10">SUM(F8:F59)</f>
        <v>11657.51502070549</v>
      </c>
      <c r="G60" s="281">
        <f t="shared" si="10"/>
        <v>460554.13534576475</v>
      </c>
      <c r="H60" s="287">
        <f t="shared" si="10"/>
        <v>6401.7051669521297</v>
      </c>
      <c r="I60" s="287">
        <f t="shared" si="10"/>
        <v>18006.722977671368</v>
      </c>
      <c r="J60" s="292">
        <f t="shared" si="10"/>
        <v>167518.43307453537</v>
      </c>
      <c r="K60" s="297">
        <f t="shared" si="10"/>
        <v>280284.77057013876</v>
      </c>
      <c r="L60" s="117"/>
      <c r="M60" s="281">
        <f t="shared" ref="M60:R60" si="11">SUM(M8:M59)</f>
        <v>116746.52218873911</v>
      </c>
      <c r="N60" s="281">
        <f t="shared" si="11"/>
        <v>8689700.6669012196</v>
      </c>
      <c r="O60" s="287">
        <f t="shared" si="11"/>
        <v>50437.622559961739</v>
      </c>
      <c r="P60" s="287">
        <f t="shared" si="11"/>
        <v>339749.49014474265</v>
      </c>
      <c r="Q60" s="292">
        <f t="shared" si="11"/>
        <v>1580362.5761748618</v>
      </c>
      <c r="R60" s="304">
        <f t="shared" si="11"/>
        <v>6610489.871937234</v>
      </c>
    </row>
    <row r="61" spans="1:18" x14ac:dyDescent="0.25">
      <c r="D61" s="298"/>
      <c r="E61" s="299"/>
      <c r="F61" s="300"/>
      <c r="G61" s="298"/>
      <c r="H61" s="298"/>
      <c r="K61" s="116"/>
      <c r="L61" s="300"/>
      <c r="M61" s="298"/>
      <c r="N61" s="298"/>
      <c r="O61" s="298"/>
      <c r="R61" s="116"/>
    </row>
    <row r="62" spans="1:18" x14ac:dyDescent="0.25">
      <c r="D62" s="298"/>
      <c r="E62" s="299" t="s">
        <v>119</v>
      </c>
      <c r="F62" s="300"/>
      <c r="G62" s="301">
        <f>F60+G60</f>
        <v>472211.65036647022</v>
      </c>
      <c r="H62" s="383" t="s">
        <v>34</v>
      </c>
      <c r="K62" s="116"/>
      <c r="L62" s="300"/>
      <c r="M62" s="299" t="s">
        <v>120</v>
      </c>
      <c r="N62" s="301">
        <f>M60+N60</f>
        <v>8806447.1890899595</v>
      </c>
      <c r="O62" s="298"/>
      <c r="R62" s="116"/>
    </row>
    <row r="63" spans="1:18" x14ac:dyDescent="0.25">
      <c r="D63" s="298"/>
      <c r="E63" s="299"/>
      <c r="F63" s="300"/>
      <c r="G63" s="298"/>
      <c r="H63" s="383"/>
      <c r="K63" s="116"/>
      <c r="L63" s="300"/>
      <c r="M63" s="299"/>
      <c r="N63" s="298"/>
      <c r="O63" s="298"/>
      <c r="R63" s="116"/>
    </row>
    <row r="64" spans="1:18" x14ac:dyDescent="0.25">
      <c r="D64" s="298"/>
      <c r="E64" s="299" t="s">
        <v>121</v>
      </c>
      <c r="F64" s="300"/>
      <c r="G64" s="301">
        <f>SUM(H60:K60)</f>
        <v>472211.63178929762</v>
      </c>
      <c r="H64" s="383"/>
      <c r="K64" s="116"/>
      <c r="L64" s="300"/>
      <c r="M64" s="299" t="s">
        <v>122</v>
      </c>
      <c r="N64" s="301">
        <f>SUM(O60:R60)</f>
        <v>8581039.5608168002</v>
      </c>
      <c r="O64" s="298"/>
      <c r="R64" s="116"/>
    </row>
    <row r="65" spans="4:18" x14ac:dyDescent="0.25">
      <c r="D65" s="298"/>
      <c r="E65" s="298"/>
      <c r="F65" s="300"/>
      <c r="G65" s="298"/>
      <c r="H65" s="298"/>
      <c r="K65" s="116"/>
      <c r="L65" s="300"/>
      <c r="M65" s="299"/>
      <c r="N65" s="298"/>
      <c r="O65" s="298"/>
      <c r="R65" s="116"/>
    </row>
    <row r="66" spans="4:18" x14ac:dyDescent="0.25">
      <c r="F66" s="117"/>
      <c r="G66" s="126"/>
      <c r="K66" s="116"/>
      <c r="L66" s="300"/>
      <c r="M66" s="299" t="s">
        <v>123</v>
      </c>
      <c r="N66" s="301">
        <f>N62/G62</f>
        <v>18.649364500548689</v>
      </c>
      <c r="O66" s="305" t="s">
        <v>34</v>
      </c>
      <c r="R66" s="116"/>
    </row>
    <row r="67" spans="4:18" x14ac:dyDescent="0.25">
      <c r="F67" s="117"/>
      <c r="K67" s="116"/>
      <c r="L67" s="300"/>
      <c r="M67" s="299"/>
      <c r="N67" s="298"/>
      <c r="O67" s="306"/>
      <c r="R67" s="116"/>
    </row>
    <row r="68" spans="4:18" x14ac:dyDescent="0.25">
      <c r="F68" s="128"/>
      <c r="G68" s="129"/>
      <c r="H68" s="129"/>
      <c r="I68" s="129"/>
      <c r="J68" s="129"/>
      <c r="K68" s="130"/>
      <c r="L68" s="307"/>
      <c r="M68" s="308" t="s">
        <v>124</v>
      </c>
      <c r="N68" s="309">
        <f>N64/G64</f>
        <v>18.172020727870777</v>
      </c>
      <c r="O68" s="310" t="s">
        <v>34</v>
      </c>
      <c r="P68" s="129"/>
      <c r="Q68" s="129"/>
      <c r="R68" s="130"/>
    </row>
  </sheetData>
  <mergeCells count="7">
    <mergeCell ref="M1:N1"/>
    <mergeCell ref="O1:P1"/>
    <mergeCell ref="F3:G3"/>
    <mergeCell ref="M3:N3"/>
    <mergeCell ref="H62:H64"/>
    <mergeCell ref="F5:K5"/>
    <mergeCell ref="M5:R5"/>
  </mergeCells>
  <printOptions gridLines="1"/>
  <pageMargins left="0.7" right="0.7" top="0.75" bottom="0.75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8"/>
  <sheetViews>
    <sheetView workbookViewId="0"/>
  </sheetViews>
  <sheetFormatPr defaultRowHeight="15" x14ac:dyDescent="0.25"/>
  <cols>
    <col min="1" max="1" width="9.140625" style="106"/>
    <col min="2" max="2" width="15.5703125" style="106" customWidth="1"/>
    <col min="3" max="3" width="11.5703125" style="106" bestFit="1" customWidth="1"/>
    <col min="4" max="4" width="9.140625" style="106"/>
    <col min="5" max="5" width="24.5703125" style="106" bestFit="1" customWidth="1"/>
    <col min="6" max="7" width="13.28515625" style="106" bestFit="1" customWidth="1"/>
    <col min="8" max="8" width="9.140625" style="106"/>
    <col min="9" max="9" width="2.140625" style="106" bestFit="1" customWidth="1"/>
    <col min="10" max="10" width="19.5703125" style="106" bestFit="1" customWidth="1"/>
    <col min="11" max="11" width="13.28515625" style="106" bestFit="1" customWidth="1"/>
    <col min="12" max="14" width="9.140625" style="106"/>
    <col min="15" max="15" width="9.7109375" style="106" bestFit="1" customWidth="1"/>
    <col min="16" max="16384" width="9.140625" style="106"/>
  </cols>
  <sheetData>
    <row r="1" spans="1:11" x14ac:dyDescent="0.25">
      <c r="J1" s="107"/>
    </row>
    <row r="2" spans="1:11" x14ac:dyDescent="0.25">
      <c r="D2" s="384" t="s">
        <v>35</v>
      </c>
      <c r="E2" s="384"/>
      <c r="G2" s="108" t="s">
        <v>34</v>
      </c>
    </row>
    <row r="3" spans="1:11" ht="45" x14ac:dyDescent="0.25">
      <c r="B3" s="134" t="s">
        <v>125</v>
      </c>
      <c r="C3" s="134" t="s">
        <v>98</v>
      </c>
      <c r="D3" s="134" t="s">
        <v>126</v>
      </c>
      <c r="E3" s="134" t="s">
        <v>127</v>
      </c>
      <c r="G3" s="134" t="s">
        <v>128</v>
      </c>
    </row>
    <row r="4" spans="1:11" x14ac:dyDescent="0.25">
      <c r="A4" s="106" t="s">
        <v>129</v>
      </c>
      <c r="B4" s="126">
        <f>'Q2 (i) and (ii)'!G62</f>
        <v>472211.65036647022</v>
      </c>
      <c r="C4" s="126">
        <f>SUM('Q2 (i) and (ii)'!H60:I60)</f>
        <v>24408.428144623496</v>
      </c>
      <c r="D4" s="106">
        <f>'Q2 (i) and (ii)'!C28</f>
        <v>0.55839477691511785</v>
      </c>
      <c r="E4" s="106">
        <f>'Q2 (i) and (ii)'!C58</f>
        <v>0.23299863050389524</v>
      </c>
      <c r="G4" s="126">
        <f>B4-C4</f>
        <v>447803.22222184669</v>
      </c>
    </row>
    <row r="5" spans="1:11" x14ac:dyDescent="0.25">
      <c r="A5" s="106" t="s">
        <v>109</v>
      </c>
      <c r="B5" s="126">
        <f>'Q2 (i) and (ii)'!N62</f>
        <v>8806447.1890899595</v>
      </c>
      <c r="C5" s="126">
        <f>SUM('Q2 (i) and (ii)'!O60:P60)</f>
        <v>390187.1127047044</v>
      </c>
      <c r="D5" s="106">
        <f>'Q2 (i) and (ii)'!A28*'Q2 (i) and (ii)'!L28</f>
        <v>5.2678752539162055</v>
      </c>
      <c r="E5" s="106">
        <f>'Q2 (i) and (ii)'!A58*'Q2 (i) and (ii)'!L58</f>
        <v>5.4952507194314917</v>
      </c>
      <c r="G5" s="126">
        <f>B5-C5</f>
        <v>8416260.0763852559</v>
      </c>
    </row>
    <row r="7" spans="1:11" x14ac:dyDescent="0.25">
      <c r="B7" s="106" t="s">
        <v>130</v>
      </c>
      <c r="D7" s="106" t="s">
        <v>131</v>
      </c>
    </row>
    <row r="8" spans="1:11" x14ac:dyDescent="0.25">
      <c r="B8" s="106" t="s">
        <v>132</v>
      </c>
    </row>
    <row r="9" spans="1:11" x14ac:dyDescent="0.25">
      <c r="J9" s="106" t="s">
        <v>133</v>
      </c>
    </row>
    <row r="10" spans="1:11" x14ac:dyDescent="0.25">
      <c r="D10" s="385" t="s">
        <v>134</v>
      </c>
      <c r="E10" s="385"/>
    </row>
    <row r="11" spans="1:11" x14ac:dyDescent="0.25">
      <c r="D11" s="135" t="s">
        <v>103</v>
      </c>
      <c r="E11" s="135" t="s">
        <v>105</v>
      </c>
      <c r="F11" s="135" t="s">
        <v>135</v>
      </c>
      <c r="I11" s="106" t="s">
        <v>136</v>
      </c>
      <c r="J11" s="126">
        <f>G4/D4-(E4/D4)*J12</f>
        <v>271473.99039556156</v>
      </c>
      <c r="K11" s="87">
        <f t="array" ref="K11:K12">MMULT(MINVERSE(MMULT(D4:E5,D4:E5)),MMULT(D4:E5,G4:G5))</f>
        <v>271473.99039555714</v>
      </c>
    </row>
    <row r="12" spans="1:11" x14ac:dyDescent="0.25">
      <c r="D12" s="106">
        <f>D4</f>
        <v>0.55839477691511785</v>
      </c>
      <c r="E12" s="106">
        <f>E4</f>
        <v>0.23299863050389524</v>
      </c>
      <c r="F12" s="126">
        <f>G4</f>
        <v>447803.22222184669</v>
      </c>
      <c r="I12" s="106" t="s">
        <v>137</v>
      </c>
      <c r="J12" s="87">
        <f>(G5-(D5/D4)*G4)/(E5-(D5/D4)*E4)</f>
        <v>1271310.3217647807</v>
      </c>
      <c r="K12" s="87">
        <v>1271310.3217647858</v>
      </c>
    </row>
    <row r="13" spans="1:11" x14ac:dyDescent="0.25">
      <c r="D13" s="106">
        <f>D5</f>
        <v>5.2678752539162055</v>
      </c>
      <c r="E13" s="106">
        <f>E5</f>
        <v>5.4952507194314917</v>
      </c>
      <c r="F13" s="126">
        <f>G5</f>
        <v>8416260.0763852559</v>
      </c>
    </row>
    <row r="14" spans="1:11" x14ac:dyDescent="0.25">
      <c r="D14" s="106">
        <f>D12*$D$13/$D$12</f>
        <v>5.2678752539162055</v>
      </c>
      <c r="E14" s="106">
        <f>E12*$D$13/$D$12</f>
        <v>2.1981002877725961</v>
      </c>
      <c r="F14" s="126">
        <f>F12*$D$13/$D$12</f>
        <v>4224558.7002061</v>
      </c>
      <c r="G14" s="108" t="s">
        <v>34</v>
      </c>
    </row>
    <row r="15" spans="1:11" x14ac:dyDescent="0.25">
      <c r="D15" s="106">
        <f>D13-D14</f>
        <v>0</v>
      </c>
      <c r="E15" s="106">
        <f>E13-E14</f>
        <v>3.2971504316588955</v>
      </c>
      <c r="F15" s="126">
        <f>F13-F14</f>
        <v>4191701.3761791559</v>
      </c>
      <c r="G15" s="108" t="s">
        <v>34</v>
      </c>
    </row>
    <row r="16" spans="1:11" x14ac:dyDescent="0.25">
      <c r="D16" s="136">
        <v>0</v>
      </c>
      <c r="E16" s="136">
        <f>E15/$E$15</f>
        <v>1</v>
      </c>
      <c r="F16" s="137">
        <f>F15/$E$15</f>
        <v>1271310.3217647807</v>
      </c>
      <c r="G16" s="108" t="s">
        <v>34</v>
      </c>
    </row>
    <row r="17" spans="4:7" x14ac:dyDescent="0.25">
      <c r="D17" s="106">
        <f>D12/$D$12</f>
        <v>1</v>
      </c>
      <c r="E17" s="106">
        <f>E12/$D$12</f>
        <v>0.41726506073554048</v>
      </c>
      <c r="F17" s="126">
        <f>F12/$D$12</f>
        <v>801947.36902046227</v>
      </c>
      <c r="G17" s="108"/>
    </row>
    <row r="18" spans="4:7" x14ac:dyDescent="0.25">
      <c r="D18" s="136">
        <v>1</v>
      </c>
      <c r="E18" s="136">
        <f>E17-E16*$E$17</f>
        <v>0</v>
      </c>
      <c r="F18" s="137">
        <f>F17-F16*$E$17</f>
        <v>271473.99039556156</v>
      </c>
      <c r="G18" s="108" t="s">
        <v>34</v>
      </c>
    </row>
  </sheetData>
  <mergeCells count="2">
    <mergeCell ref="D2:E2"/>
    <mergeCell ref="D10:E10"/>
  </mergeCells>
  <printOptions gridLines="1"/>
  <pageMargins left="0.7" right="0.7" top="0.75" bottom="0.75" header="0.5" footer="0.5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5680A-7183-44E6-B53C-A7C1CEF479ED}">
  <dimension ref="A1:T74"/>
  <sheetViews>
    <sheetView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8" sqref="F8"/>
    </sheetView>
  </sheetViews>
  <sheetFormatPr defaultRowHeight="15" x14ac:dyDescent="0.25"/>
  <cols>
    <col min="1" max="5" width="9.140625" style="106"/>
    <col min="6" max="7" width="14.28515625" style="106" bestFit="1" customWidth="1"/>
    <col min="8" max="8" width="10.7109375" style="106" bestFit="1" customWidth="1"/>
    <col min="9" max="9" width="14.5703125" style="106" bestFit="1" customWidth="1"/>
    <col min="10" max="10" width="14.140625" style="106" customWidth="1"/>
    <col min="11" max="11" width="15" style="106" customWidth="1"/>
    <col min="12" max="12" width="9.140625" style="106"/>
    <col min="13" max="14" width="14.28515625" style="106" bestFit="1" customWidth="1"/>
    <col min="15" max="15" width="10.7109375" style="106" bestFit="1" customWidth="1"/>
    <col min="16" max="16" width="14.5703125" style="106" bestFit="1" customWidth="1"/>
    <col min="17" max="18" width="14.7109375" style="106" bestFit="1" customWidth="1"/>
    <col min="19" max="16384" width="9.140625" style="106"/>
  </cols>
  <sheetData>
    <row r="1" spans="1:20" s="107" customFormat="1" x14ac:dyDescent="0.25"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384"/>
      <c r="N1" s="384"/>
      <c r="O1" s="384"/>
      <c r="P1" s="384"/>
      <c r="Q1" s="108"/>
      <c r="R1" s="108"/>
      <c r="S1" s="108"/>
      <c r="T1" s="109"/>
    </row>
    <row r="2" spans="1:20" x14ac:dyDescent="0.25">
      <c r="F2" s="110" t="s">
        <v>108</v>
      </c>
      <c r="G2" s="111"/>
      <c r="H2" s="111"/>
      <c r="I2" s="111"/>
      <c r="J2" s="111"/>
      <c r="K2" s="112"/>
      <c r="L2" s="110"/>
      <c r="M2" s="111" t="s">
        <v>109</v>
      </c>
      <c r="N2" s="111"/>
      <c r="O2" s="111"/>
      <c r="P2" s="111"/>
      <c r="Q2" s="111"/>
      <c r="R2" s="112"/>
      <c r="T2" s="113"/>
    </row>
    <row r="3" spans="1:20" x14ac:dyDescent="0.25">
      <c r="F3" s="386" t="s">
        <v>111</v>
      </c>
      <c r="G3" s="387"/>
      <c r="H3" s="106" t="s">
        <v>98</v>
      </c>
      <c r="I3" s="115">
        <v>1.05</v>
      </c>
      <c r="J3" s="106" t="s">
        <v>103</v>
      </c>
      <c r="K3" s="116" t="s">
        <v>105</v>
      </c>
      <c r="L3" s="117"/>
      <c r="M3" s="387" t="s">
        <v>111</v>
      </c>
      <c r="N3" s="387"/>
      <c r="O3" s="106" t="s">
        <v>98</v>
      </c>
      <c r="P3" s="115">
        <v>1.05</v>
      </c>
      <c r="Q3" s="106" t="s">
        <v>103</v>
      </c>
      <c r="R3" s="116" t="s">
        <v>105</v>
      </c>
    </row>
    <row r="4" spans="1:20" x14ac:dyDescent="0.25">
      <c r="B4" s="106" t="s">
        <v>76</v>
      </c>
      <c r="C4" s="115">
        <v>0.06</v>
      </c>
      <c r="F4" s="118" t="s">
        <v>112</v>
      </c>
      <c r="G4" s="119">
        <v>1500000</v>
      </c>
      <c r="H4" s="120">
        <v>55000</v>
      </c>
      <c r="I4" s="115">
        <v>0.01</v>
      </c>
      <c r="J4" s="120">
        <v>271473.99039558572</v>
      </c>
      <c r="K4" s="121">
        <v>1271310.3217647155</v>
      </c>
      <c r="L4" s="117"/>
      <c r="M4" s="122" t="s">
        <v>112</v>
      </c>
      <c r="N4" s="119">
        <v>1500000</v>
      </c>
      <c r="O4" s="120">
        <v>55000</v>
      </c>
      <c r="P4" s="115">
        <v>0.01</v>
      </c>
      <c r="Q4" s="120">
        <f>J4</f>
        <v>271473.99039558572</v>
      </c>
      <c r="R4" s="121">
        <f>K4</f>
        <v>1271310.3217647155</v>
      </c>
    </row>
    <row r="5" spans="1:20" x14ac:dyDescent="0.25">
      <c r="F5" s="400" t="s">
        <v>247</v>
      </c>
      <c r="G5" s="401"/>
      <c r="H5" s="401"/>
      <c r="I5" s="401"/>
      <c r="J5" s="401"/>
      <c r="K5" s="402"/>
      <c r="L5" s="303"/>
      <c r="M5" s="401" t="s">
        <v>248</v>
      </c>
      <c r="N5" s="401"/>
      <c r="O5" s="401"/>
      <c r="P5" s="401"/>
      <c r="Q5" s="401"/>
      <c r="R5" s="401"/>
      <c r="S5" s="117"/>
    </row>
    <row r="6" spans="1:20" x14ac:dyDescent="0.25">
      <c r="A6" s="106" t="s">
        <v>113</v>
      </c>
      <c r="B6" s="106" t="s">
        <v>36</v>
      </c>
      <c r="C6" s="106" t="s">
        <v>114</v>
      </c>
      <c r="D6" s="106" t="s">
        <v>115</v>
      </c>
      <c r="E6" s="106" t="s">
        <v>116</v>
      </c>
      <c r="F6" s="403" t="s">
        <v>244</v>
      </c>
      <c r="G6" s="404" t="s">
        <v>245</v>
      </c>
      <c r="H6" s="404" t="s">
        <v>250</v>
      </c>
      <c r="I6" s="404" t="s">
        <v>246</v>
      </c>
      <c r="J6" s="404" t="s">
        <v>246</v>
      </c>
      <c r="K6" s="404" t="s">
        <v>246</v>
      </c>
      <c r="L6" s="303" t="s">
        <v>117</v>
      </c>
      <c r="M6" s="405" t="s">
        <v>244</v>
      </c>
      <c r="N6" s="405" t="s">
        <v>245</v>
      </c>
      <c r="O6" s="404" t="s">
        <v>250</v>
      </c>
      <c r="P6" s="404" t="s">
        <v>246</v>
      </c>
      <c r="Q6" s="404" t="s">
        <v>246</v>
      </c>
      <c r="R6" s="404" t="s">
        <v>246</v>
      </c>
      <c r="S6" s="117"/>
    </row>
    <row r="7" spans="1:20" x14ac:dyDescent="0.25">
      <c r="F7" s="117"/>
      <c r="J7" s="120"/>
      <c r="K7" s="121"/>
      <c r="L7" s="117"/>
      <c r="Q7" s="120"/>
      <c r="R7" s="121"/>
    </row>
    <row r="8" spans="1:20" x14ac:dyDescent="0.25">
      <c r="A8" s="106">
        <v>0</v>
      </c>
      <c r="B8" s="106">
        <v>30</v>
      </c>
      <c r="C8" s="106">
        <f t="shared" ref="C8:C58" si="0">(1+$C$4)^-A8</f>
        <v>1</v>
      </c>
      <c r="F8" s="123">
        <f>C8*D8*$G$4*E8</f>
        <v>0</v>
      </c>
      <c r="G8" s="120"/>
      <c r="H8" s="120"/>
      <c r="I8" s="120"/>
      <c r="J8" s="120"/>
      <c r="K8" s="121"/>
      <c r="L8" s="117">
        <f t="shared" ref="L8:L58" si="1">(1+$C$4)^-(A8+1)</f>
        <v>0.94339622641509424</v>
      </c>
      <c r="M8" s="120">
        <f>L8*D8*$G$4*E8*A8</f>
        <v>0</v>
      </c>
      <c r="N8" s="120"/>
      <c r="O8" s="120"/>
      <c r="P8" s="120"/>
      <c r="Q8" s="120"/>
      <c r="R8" s="121"/>
    </row>
    <row r="9" spans="1:20" x14ac:dyDescent="0.25">
      <c r="A9" s="106">
        <f t="shared" ref="A9:A58" si="2">0.5+A8</f>
        <v>0.5</v>
      </c>
      <c r="B9" s="106">
        <f t="shared" ref="B9:B58" si="3">$B$8+A9</f>
        <v>30.5</v>
      </c>
      <c r="C9" s="106">
        <f t="shared" si="0"/>
        <v>0.97128586235726422</v>
      </c>
      <c r="F9" s="123">
        <f>C9*D9*$G$4*E9</f>
        <v>0</v>
      </c>
      <c r="G9" s="120"/>
      <c r="H9" s="120">
        <f t="shared" ref="H9:H48" si="4">$H$4*C9*$I$4/2</f>
        <v>267.10361214824769</v>
      </c>
      <c r="I9" s="120"/>
      <c r="J9" s="120"/>
      <c r="K9" s="121"/>
      <c r="L9" s="117">
        <f t="shared" si="1"/>
        <v>0.91630741731817356</v>
      </c>
      <c r="M9" s="120">
        <f>L9*D9*$G$4*E9*A9</f>
        <v>0</v>
      </c>
      <c r="N9" s="120"/>
      <c r="O9" s="120">
        <f t="shared" ref="O9:O48" si="5">$H$4*L9*$I$4/2*A9</f>
        <v>125.99226988124887</v>
      </c>
      <c r="P9" s="120"/>
      <c r="Q9" s="120"/>
      <c r="R9" s="121"/>
    </row>
    <row r="10" spans="1:20" x14ac:dyDescent="0.25">
      <c r="A10" s="106">
        <f t="shared" si="2"/>
        <v>1</v>
      </c>
      <c r="B10" s="106">
        <f t="shared" si="3"/>
        <v>31</v>
      </c>
      <c r="C10" s="106">
        <f t="shared" si="0"/>
        <v>0.94339622641509424</v>
      </c>
      <c r="D10" s="106">
        <f>'Q2 Base'!B14</f>
        <v>4.4299999999999998E-4</v>
      </c>
      <c r="E10" s="106">
        <v>1</v>
      </c>
      <c r="F10" s="123">
        <f>C10*D10*$G$4*E10</f>
        <v>626.88679245283015</v>
      </c>
      <c r="G10" s="120"/>
      <c r="H10" s="120">
        <f t="shared" si="4"/>
        <v>259.43396226415092</v>
      </c>
      <c r="I10" s="120"/>
      <c r="J10" s="120"/>
      <c r="K10" s="121"/>
      <c r="L10" s="117">
        <f t="shared" si="1"/>
        <v>0.88999644001423983</v>
      </c>
      <c r="M10" s="120">
        <f>L10*D10*$G$4*E10*A10</f>
        <v>591.40263438946226</v>
      </c>
      <c r="N10" s="120"/>
      <c r="O10" s="120">
        <f t="shared" si="5"/>
        <v>244.74902100391594</v>
      </c>
      <c r="P10" s="120"/>
      <c r="Q10" s="120"/>
      <c r="R10" s="121"/>
    </row>
    <row r="11" spans="1:20" x14ac:dyDescent="0.25">
      <c r="A11" s="106">
        <f t="shared" si="2"/>
        <v>1.5</v>
      </c>
      <c r="B11" s="106">
        <f t="shared" si="3"/>
        <v>31.5</v>
      </c>
      <c r="C11" s="106">
        <f t="shared" si="0"/>
        <v>0.91630741731817356</v>
      </c>
      <c r="F11" s="123"/>
      <c r="G11" s="120"/>
      <c r="H11" s="120">
        <f t="shared" si="4"/>
        <v>251.98453976249775</v>
      </c>
      <c r="I11" s="120"/>
      <c r="J11" s="120"/>
      <c r="K11" s="121"/>
      <c r="L11" s="117">
        <f t="shared" si="1"/>
        <v>0.86444095973412605</v>
      </c>
      <c r="M11" s="120"/>
      <c r="N11" s="120"/>
      <c r="O11" s="120">
        <f t="shared" si="5"/>
        <v>356.58189589032702</v>
      </c>
      <c r="P11" s="120"/>
      <c r="Q11" s="120"/>
      <c r="R11" s="121"/>
    </row>
    <row r="12" spans="1:20" x14ac:dyDescent="0.25">
      <c r="A12" s="106">
        <f t="shared" si="2"/>
        <v>2</v>
      </c>
      <c r="B12" s="106">
        <f t="shared" si="3"/>
        <v>32</v>
      </c>
      <c r="C12" s="106">
        <f t="shared" si="0"/>
        <v>0.88999644001423983</v>
      </c>
      <c r="D12" s="106">
        <f>'Q2 Base'!B15</f>
        <v>4.5600000000000003E-4</v>
      </c>
      <c r="E12" s="106">
        <f>(1-D10)*E10</f>
        <v>0.99955700000000003</v>
      </c>
      <c r="F12" s="123">
        <f>C12*D12*$G$4*E12</f>
        <v>608.48788536845848</v>
      </c>
      <c r="G12" s="120"/>
      <c r="H12" s="120">
        <f t="shared" si="4"/>
        <v>244.74902100391594</v>
      </c>
      <c r="I12" s="120"/>
      <c r="J12" s="120"/>
      <c r="K12" s="121"/>
      <c r="L12" s="117">
        <f t="shared" si="1"/>
        <v>0.8396192830323016</v>
      </c>
      <c r="M12" s="120">
        <f>L12*D12*$G$4*E12*A12</f>
        <v>1148.0903497518082</v>
      </c>
      <c r="N12" s="120"/>
      <c r="O12" s="120">
        <f t="shared" si="5"/>
        <v>461.79060566776587</v>
      </c>
      <c r="P12" s="120"/>
      <c r="Q12" s="120"/>
      <c r="R12" s="121"/>
    </row>
    <row r="13" spans="1:20" x14ac:dyDescent="0.25">
      <c r="A13" s="106">
        <f t="shared" si="2"/>
        <v>2.5</v>
      </c>
      <c r="B13" s="106">
        <f t="shared" si="3"/>
        <v>32.5</v>
      </c>
      <c r="C13" s="106">
        <f t="shared" si="0"/>
        <v>0.86444095973412605</v>
      </c>
      <c r="F13" s="123"/>
      <c r="G13" s="120"/>
      <c r="H13" s="120">
        <f t="shared" si="4"/>
        <v>237.72126392688469</v>
      </c>
      <c r="I13" s="120"/>
      <c r="J13" s="120"/>
      <c r="K13" s="121"/>
      <c r="L13" s="117">
        <f t="shared" si="1"/>
        <v>0.81551033937181705</v>
      </c>
      <c r="M13" s="120"/>
      <c r="N13" s="120"/>
      <c r="O13" s="120">
        <f t="shared" si="5"/>
        <v>560.66335831812421</v>
      </c>
      <c r="P13" s="120"/>
      <c r="Q13" s="120"/>
      <c r="R13" s="121"/>
    </row>
    <row r="14" spans="1:20" x14ac:dyDescent="0.25">
      <c r="A14" s="106">
        <f t="shared" si="2"/>
        <v>3</v>
      </c>
      <c r="B14" s="106">
        <f t="shared" si="3"/>
        <v>33</v>
      </c>
      <c r="C14" s="106">
        <f t="shared" si="0"/>
        <v>0.8396192830323016</v>
      </c>
      <c r="D14" s="106">
        <f>'Q2 Base'!B16</f>
        <v>4.7100000000000001E-4</v>
      </c>
      <c r="E14" s="106">
        <f>(1-D12)*E12</f>
        <v>0.99910120200800001</v>
      </c>
      <c r="F14" s="123">
        <f>C14*D14*$G$4*E14</f>
        <v>592.6578645615607</v>
      </c>
      <c r="G14" s="120"/>
      <c r="H14" s="120">
        <f t="shared" si="4"/>
        <v>230.89530283388294</v>
      </c>
      <c r="I14" s="120"/>
      <c r="J14" s="120"/>
      <c r="K14" s="121"/>
      <c r="L14" s="117">
        <f t="shared" si="1"/>
        <v>0.79209366323802044</v>
      </c>
      <c r="M14" s="120">
        <f>L14*D14*$G$4*E14*A14</f>
        <v>1677.3335789478135</v>
      </c>
      <c r="N14" s="120"/>
      <c r="O14" s="120">
        <f t="shared" si="5"/>
        <v>653.47727217136685</v>
      </c>
      <c r="P14" s="120"/>
      <c r="Q14" s="120"/>
      <c r="R14" s="121"/>
    </row>
    <row r="15" spans="1:20" x14ac:dyDescent="0.25">
      <c r="A15" s="106">
        <f t="shared" si="2"/>
        <v>3.5</v>
      </c>
      <c r="B15" s="106">
        <f t="shared" si="3"/>
        <v>33.5</v>
      </c>
      <c r="C15" s="106">
        <f t="shared" si="0"/>
        <v>0.81551033937181705</v>
      </c>
      <c r="F15" s="123"/>
      <c r="G15" s="120"/>
      <c r="H15" s="120">
        <f t="shared" si="4"/>
        <v>224.2653433272497</v>
      </c>
      <c r="I15" s="120"/>
      <c r="J15" s="120"/>
      <c r="K15" s="121"/>
      <c r="L15" s="117">
        <f t="shared" si="1"/>
        <v>0.76934937676586501</v>
      </c>
      <c r="M15" s="120"/>
      <c r="N15" s="120"/>
      <c r="O15" s="120">
        <f t="shared" si="5"/>
        <v>740.49877513714512</v>
      </c>
      <c r="P15" s="120"/>
      <c r="Q15" s="120"/>
      <c r="R15" s="121"/>
    </row>
    <row r="16" spans="1:20" x14ac:dyDescent="0.25">
      <c r="A16" s="106">
        <f t="shared" si="2"/>
        <v>4</v>
      </c>
      <c r="B16" s="106">
        <f t="shared" si="3"/>
        <v>34</v>
      </c>
      <c r="C16" s="106">
        <f t="shared" si="0"/>
        <v>0.79209366323802044</v>
      </c>
      <c r="D16" s="106">
        <f>'Q2 Base'!B17</f>
        <v>4.8899999999999996E-4</v>
      </c>
      <c r="E16" s="106">
        <f>(1-D14)*E14</f>
        <v>0.99863062534185421</v>
      </c>
      <c r="F16" s="123">
        <f>C16*D16*$G$4*E16</f>
        <v>580.20509434742462</v>
      </c>
      <c r="G16" s="120"/>
      <c r="H16" s="120">
        <f t="shared" si="4"/>
        <v>217.82575739045564</v>
      </c>
      <c r="I16" s="120"/>
      <c r="J16" s="120"/>
      <c r="K16" s="121"/>
      <c r="L16" s="117">
        <f t="shared" si="1"/>
        <v>0.74725817286605689</v>
      </c>
      <c r="M16" s="120">
        <f>L16*D16*$G$4*E16*A16</f>
        <v>2189.4531862166959</v>
      </c>
      <c r="N16" s="120"/>
      <c r="O16" s="120">
        <f t="shared" si="5"/>
        <v>821.98399015266261</v>
      </c>
      <c r="P16" s="120"/>
      <c r="Q16" s="120"/>
      <c r="R16" s="121"/>
    </row>
    <row r="17" spans="1:20" x14ac:dyDescent="0.25">
      <c r="A17" s="106">
        <f t="shared" si="2"/>
        <v>4.5</v>
      </c>
      <c r="B17" s="106">
        <f t="shared" si="3"/>
        <v>34.5</v>
      </c>
      <c r="C17" s="106">
        <f t="shared" si="0"/>
        <v>0.76934937676586501</v>
      </c>
      <c r="F17" s="123"/>
      <c r="G17" s="120"/>
      <c r="H17" s="120">
        <f t="shared" si="4"/>
        <v>211.57107861061289</v>
      </c>
      <c r="I17" s="120"/>
      <c r="J17" s="120"/>
      <c r="K17" s="121"/>
      <c r="L17" s="117">
        <f t="shared" si="1"/>
        <v>0.72580129883572175</v>
      </c>
      <c r="M17" s="120"/>
      <c r="N17" s="120"/>
      <c r="O17" s="120">
        <f t="shared" si="5"/>
        <v>898.17910730920562</v>
      </c>
      <c r="P17" s="120"/>
      <c r="Q17" s="120"/>
      <c r="R17" s="121"/>
    </row>
    <row r="18" spans="1:20" x14ac:dyDescent="0.25">
      <c r="A18" s="106">
        <f t="shared" si="2"/>
        <v>5</v>
      </c>
      <c r="B18" s="106">
        <f t="shared" si="3"/>
        <v>35</v>
      </c>
      <c r="C18" s="106">
        <f t="shared" si="0"/>
        <v>0.74725817286605689</v>
      </c>
      <c r="D18" s="106">
        <f>'Q2 Base'!B18</f>
        <v>5.0799999999999999E-4</v>
      </c>
      <c r="E18" s="106">
        <f>(1-D16)*E16</f>
        <v>0.9981422949660621</v>
      </c>
      <c r="F18" s="123">
        <f>C18*D18*$G$4*E18</f>
        <v>568.35293054866429</v>
      </c>
      <c r="G18" s="120"/>
      <c r="H18" s="120">
        <f t="shared" si="4"/>
        <v>205.49599753816565</v>
      </c>
      <c r="I18" s="120"/>
      <c r="J18" s="120"/>
      <c r="K18" s="121"/>
      <c r="L18" s="117">
        <f t="shared" si="1"/>
        <v>0.70496054043967626</v>
      </c>
      <c r="M18" s="120">
        <f>L18*D18*$G$4*E18*A18</f>
        <v>2680.9100497578511</v>
      </c>
      <c r="N18" s="120"/>
      <c r="O18" s="120">
        <f t="shared" si="5"/>
        <v>969.32074310455494</v>
      </c>
      <c r="P18" s="120"/>
      <c r="Q18" s="120"/>
      <c r="R18" s="121"/>
    </row>
    <row r="19" spans="1:20" x14ac:dyDescent="0.25">
      <c r="A19" s="106">
        <f t="shared" si="2"/>
        <v>5.5</v>
      </c>
      <c r="B19" s="106">
        <f t="shared" si="3"/>
        <v>35.5</v>
      </c>
      <c r="C19" s="106">
        <f t="shared" si="0"/>
        <v>0.72580129883572175</v>
      </c>
      <c r="F19" s="123"/>
      <c r="G19" s="120"/>
      <c r="H19" s="120">
        <f t="shared" si="4"/>
        <v>199.59535717982348</v>
      </c>
      <c r="I19" s="120"/>
      <c r="J19" s="120"/>
      <c r="K19" s="121"/>
      <c r="L19" s="117">
        <f t="shared" si="1"/>
        <v>0.684718206448794</v>
      </c>
      <c r="M19" s="120"/>
      <c r="N19" s="120"/>
      <c r="O19" s="120">
        <f t="shared" si="5"/>
        <v>1035.6362872538009</v>
      </c>
      <c r="P19" s="120"/>
      <c r="Q19" s="120"/>
      <c r="R19" s="121"/>
      <c r="T19" s="124"/>
    </row>
    <row r="20" spans="1:20" x14ac:dyDescent="0.25">
      <c r="A20" s="106">
        <f t="shared" si="2"/>
        <v>6</v>
      </c>
      <c r="B20" s="106">
        <f t="shared" si="3"/>
        <v>36</v>
      </c>
      <c r="C20" s="106">
        <f t="shared" si="0"/>
        <v>0.70496054043967626</v>
      </c>
      <c r="D20" s="106">
        <f>'Q2 Base'!B19</f>
        <v>5.31E-4</v>
      </c>
      <c r="E20" s="106">
        <f>(1-D18)*E18</f>
        <v>0.99763523868021942</v>
      </c>
      <c r="F20" s="123">
        <f>C20*D20*$G$4*E20</f>
        <v>560.17325444776247</v>
      </c>
      <c r="G20" s="120"/>
      <c r="H20" s="120">
        <f t="shared" si="4"/>
        <v>193.86414862091098</v>
      </c>
      <c r="I20" s="120"/>
      <c r="J20" s="120"/>
      <c r="K20" s="121"/>
      <c r="L20" s="117">
        <f t="shared" si="1"/>
        <v>0.66505711362233599</v>
      </c>
      <c r="M20" s="120">
        <f>L20*D20*$G$4*E20*A20</f>
        <v>3170.7920063080887</v>
      </c>
      <c r="N20" s="120"/>
      <c r="O20" s="120">
        <f t="shared" si="5"/>
        <v>1097.3442374768545</v>
      </c>
      <c r="P20" s="120"/>
      <c r="Q20" s="120"/>
      <c r="R20" s="121"/>
    </row>
    <row r="21" spans="1:20" x14ac:dyDescent="0.25">
      <c r="A21" s="106">
        <f t="shared" si="2"/>
        <v>6.5</v>
      </c>
      <c r="B21" s="106">
        <f t="shared" si="3"/>
        <v>36.5</v>
      </c>
      <c r="C21" s="106">
        <f t="shared" si="0"/>
        <v>0.684718206448794</v>
      </c>
      <c r="F21" s="123"/>
      <c r="G21" s="120"/>
      <c r="H21" s="120">
        <f t="shared" si="4"/>
        <v>188.29750677341835</v>
      </c>
      <c r="I21" s="120"/>
      <c r="J21" s="120"/>
      <c r="K21" s="121"/>
      <c r="L21" s="117">
        <f t="shared" si="1"/>
        <v>0.64596057212150371</v>
      </c>
      <c r="M21" s="120"/>
      <c r="N21" s="120"/>
      <c r="O21" s="120">
        <f t="shared" si="5"/>
        <v>1154.6545226671878</v>
      </c>
      <c r="P21" s="120"/>
      <c r="Q21" s="120"/>
      <c r="R21" s="121"/>
    </row>
    <row r="22" spans="1:20" x14ac:dyDescent="0.25">
      <c r="A22" s="106">
        <f t="shared" si="2"/>
        <v>7</v>
      </c>
      <c r="B22" s="106">
        <f t="shared" si="3"/>
        <v>37</v>
      </c>
      <c r="C22" s="106">
        <f t="shared" si="0"/>
        <v>0.66505711362233599</v>
      </c>
      <c r="D22" s="106">
        <f>'Q2 Base'!B20</f>
        <v>5.5599999999999996E-4</v>
      </c>
      <c r="E22" s="106">
        <f>(1-D20)*E20</f>
        <v>0.99710549436848028</v>
      </c>
      <c r="F22" s="123">
        <f>C22*D22*$G$4*E22</f>
        <v>553.05217311943591</v>
      </c>
      <c r="G22" s="120"/>
      <c r="H22" s="120">
        <f t="shared" si="4"/>
        <v>182.8907062461424</v>
      </c>
      <c r="I22" s="120"/>
      <c r="J22" s="120"/>
      <c r="K22" s="121"/>
      <c r="L22" s="117">
        <f t="shared" si="1"/>
        <v>0.62741237134182648</v>
      </c>
      <c r="M22" s="120">
        <f>L22*D22*$G$4*E22*A22</f>
        <v>3652.2313319208042</v>
      </c>
      <c r="N22" s="120"/>
      <c r="O22" s="120">
        <f t="shared" si="5"/>
        <v>1207.768814833016</v>
      </c>
      <c r="P22" s="120"/>
      <c r="Q22" s="120"/>
      <c r="R22" s="121"/>
    </row>
    <row r="23" spans="1:20" x14ac:dyDescent="0.25">
      <c r="A23" s="106">
        <f t="shared" si="2"/>
        <v>7.5</v>
      </c>
      <c r="B23" s="106">
        <f t="shared" si="3"/>
        <v>37.5</v>
      </c>
      <c r="C23" s="106">
        <f t="shared" si="0"/>
        <v>0.64596057212150371</v>
      </c>
      <c r="F23" s="123"/>
      <c r="G23" s="120"/>
      <c r="H23" s="120">
        <f t="shared" si="4"/>
        <v>177.63915733341352</v>
      </c>
      <c r="I23" s="120"/>
      <c r="J23" s="120"/>
      <c r="K23" s="121"/>
      <c r="L23" s="117">
        <f t="shared" si="1"/>
        <v>0.60939676615236205</v>
      </c>
      <c r="M23" s="120"/>
      <c r="N23" s="120"/>
      <c r="O23" s="120">
        <f t="shared" si="5"/>
        <v>1256.8808301892466</v>
      </c>
      <c r="P23" s="120"/>
      <c r="Q23" s="120"/>
      <c r="R23" s="121"/>
    </row>
    <row r="24" spans="1:20" x14ac:dyDescent="0.25">
      <c r="A24" s="106">
        <f t="shared" si="2"/>
        <v>8</v>
      </c>
      <c r="B24" s="106">
        <f t="shared" si="3"/>
        <v>38</v>
      </c>
      <c r="C24" s="106">
        <f t="shared" si="0"/>
        <v>0.62741237134182648</v>
      </c>
      <c r="D24" s="106">
        <f>'Q2 Base'!B21</f>
        <v>5.8500000000000002E-4</v>
      </c>
      <c r="E24" s="106">
        <f>(1-D22)*E22</f>
        <v>0.99655110371361144</v>
      </c>
      <c r="F24" s="123">
        <f>C24*D24*$G$4*E24</f>
        <v>548.65555097909817</v>
      </c>
      <c r="G24" s="120"/>
      <c r="H24" s="120">
        <f t="shared" si="4"/>
        <v>172.53840211900228</v>
      </c>
      <c r="I24" s="120"/>
      <c r="J24" s="120"/>
      <c r="K24" s="121"/>
      <c r="L24" s="117">
        <f t="shared" si="1"/>
        <v>0.59189846353002495</v>
      </c>
      <c r="M24" s="120">
        <f>L24*D24*$G$4*E24*A24</f>
        <v>4140.7966111630049</v>
      </c>
      <c r="N24" s="120"/>
      <c r="O24" s="120">
        <f t="shared" si="5"/>
        <v>1302.176619766055</v>
      </c>
      <c r="P24" s="120"/>
      <c r="Q24" s="120"/>
      <c r="R24" s="121"/>
    </row>
    <row r="25" spans="1:20" x14ac:dyDescent="0.25">
      <c r="A25" s="106">
        <f t="shared" si="2"/>
        <v>8.5</v>
      </c>
      <c r="B25" s="106">
        <f t="shared" si="3"/>
        <v>38.5</v>
      </c>
      <c r="C25" s="106">
        <f t="shared" si="0"/>
        <v>0.60939676615236205</v>
      </c>
      <c r="F25" s="123"/>
      <c r="G25" s="120"/>
      <c r="H25" s="120">
        <f t="shared" si="4"/>
        <v>167.58411069189955</v>
      </c>
      <c r="I25" s="120"/>
      <c r="J25" s="120"/>
      <c r="K25" s="121"/>
      <c r="L25" s="117">
        <f t="shared" si="1"/>
        <v>0.57490260957770001</v>
      </c>
      <c r="M25" s="120"/>
      <c r="N25" s="120"/>
      <c r="O25" s="120">
        <f t="shared" si="5"/>
        <v>1343.8348498878738</v>
      </c>
      <c r="P25" s="120"/>
      <c r="Q25" s="120"/>
      <c r="R25" s="121"/>
    </row>
    <row r="26" spans="1:20" x14ac:dyDescent="0.25">
      <c r="A26" s="106">
        <f t="shared" si="2"/>
        <v>9</v>
      </c>
      <c r="B26" s="106">
        <f t="shared" si="3"/>
        <v>39</v>
      </c>
      <c r="C26" s="106">
        <f t="shared" si="0"/>
        <v>0.59189846353002495</v>
      </c>
      <c r="D26" s="106">
        <f>'Q2 Base'!B22</f>
        <v>6.1700000000000004E-4</v>
      </c>
      <c r="E26" s="106">
        <f>(1-D24)*E24</f>
        <v>0.99596812131793899</v>
      </c>
      <c r="F26" s="123">
        <f>C26*D26*$G$4*E26</f>
        <v>545.59335667836706</v>
      </c>
      <c r="G26" s="120"/>
      <c r="H26" s="120">
        <f t="shared" si="4"/>
        <v>162.77207747075687</v>
      </c>
      <c r="I26" s="120"/>
      <c r="J26" s="120"/>
      <c r="K26" s="121"/>
      <c r="L26" s="117">
        <f t="shared" si="1"/>
        <v>0.55839477691511785</v>
      </c>
      <c r="M26" s="120">
        <f>L26*D26*$G$4*E26*A26</f>
        <v>4632.3964246276446</v>
      </c>
      <c r="N26" s="120"/>
      <c r="O26" s="120">
        <f t="shared" si="5"/>
        <v>1382.0270728649166</v>
      </c>
      <c r="P26" s="120"/>
      <c r="Q26" s="120"/>
      <c r="R26" s="121"/>
    </row>
    <row r="27" spans="1:20" x14ac:dyDescent="0.25">
      <c r="A27" s="106">
        <f t="shared" si="2"/>
        <v>9.5</v>
      </c>
      <c r="B27" s="106">
        <f t="shared" si="3"/>
        <v>39.5</v>
      </c>
      <c r="C27" s="106">
        <f t="shared" si="0"/>
        <v>0.57490260957770001</v>
      </c>
      <c r="F27" s="123"/>
      <c r="G27" s="120"/>
      <c r="H27" s="120">
        <f t="shared" si="4"/>
        <v>158.09821763386751</v>
      </c>
      <c r="I27" s="120"/>
      <c r="J27" s="120"/>
      <c r="K27" s="121"/>
      <c r="L27" s="117">
        <f t="shared" si="1"/>
        <v>0.5423609524317925</v>
      </c>
      <c r="M27" s="120"/>
      <c r="N27" s="120"/>
      <c r="O27" s="120">
        <f t="shared" si="5"/>
        <v>1416.917988228058</v>
      </c>
      <c r="P27" s="120"/>
      <c r="Q27" s="120"/>
      <c r="R27" s="121"/>
    </row>
    <row r="28" spans="1:20" x14ac:dyDescent="0.25">
      <c r="A28" s="106">
        <f t="shared" si="2"/>
        <v>10</v>
      </c>
      <c r="B28" s="106">
        <f t="shared" si="3"/>
        <v>40</v>
      </c>
      <c r="C28" s="106">
        <f t="shared" si="0"/>
        <v>0.55839477691511785</v>
      </c>
      <c r="D28" s="106">
        <f>'Q2 Base'!B23</f>
        <v>6.5399999999999996E-4</v>
      </c>
      <c r="E28" s="106">
        <f>(1-D26)*E26</f>
        <v>0.9953536089870858</v>
      </c>
      <c r="F28" s="123">
        <f>C28*D28*$G$4*E28</f>
        <v>545.24005156960322</v>
      </c>
      <c r="G28" s="120"/>
      <c r="H28" s="120">
        <f t="shared" si="4"/>
        <v>153.55856365165741</v>
      </c>
      <c r="I28" s="120"/>
      <c r="J28" s="120">
        <f>$J$4*C28</f>
        <v>151589.65830519993</v>
      </c>
      <c r="K28" s="121"/>
      <c r="L28" s="117">
        <f t="shared" si="1"/>
        <v>0.52678752539162055</v>
      </c>
      <c r="M28" s="120">
        <f>L28*D28*$G$4*E28*A28</f>
        <v>5143.7740714113497</v>
      </c>
      <c r="N28" s="120"/>
      <c r="O28" s="120">
        <f t="shared" si="5"/>
        <v>1448.6656948269567</v>
      </c>
      <c r="P28" s="120"/>
      <c r="Q28" s="120">
        <f>$J$4*L28*A28</f>
        <v>1430091.1160867917</v>
      </c>
      <c r="R28" s="121"/>
    </row>
    <row r="29" spans="1:20" x14ac:dyDescent="0.25">
      <c r="A29" s="106">
        <f t="shared" si="2"/>
        <v>10.5</v>
      </c>
      <c r="B29" s="106">
        <f t="shared" si="3"/>
        <v>40.5</v>
      </c>
      <c r="C29" s="106">
        <f t="shared" si="0"/>
        <v>0.5423609524317925</v>
      </c>
      <c r="F29" s="123"/>
      <c r="G29" s="120"/>
      <c r="H29" s="120">
        <f t="shared" si="4"/>
        <v>149.14926191874295</v>
      </c>
      <c r="I29" s="120"/>
      <c r="J29" s="120"/>
      <c r="K29" s="121"/>
      <c r="L29" s="117">
        <f t="shared" si="1"/>
        <v>0.51166127587904942</v>
      </c>
      <c r="M29" s="120"/>
      <c r="N29" s="120"/>
      <c r="O29" s="120">
        <f t="shared" si="5"/>
        <v>1477.4219341007552</v>
      </c>
      <c r="P29" s="120"/>
      <c r="Q29" s="120"/>
      <c r="R29" s="121"/>
    </row>
    <row r="30" spans="1:20" x14ac:dyDescent="0.25">
      <c r="A30" s="106">
        <f t="shared" si="2"/>
        <v>11</v>
      </c>
      <c r="B30" s="106">
        <f t="shared" si="3"/>
        <v>41</v>
      </c>
      <c r="C30" s="106">
        <f t="shared" si="0"/>
        <v>0.52678752539162055</v>
      </c>
      <c r="D30" s="106">
        <f>'Q2 Base'!B24</f>
        <v>6.96E-4</v>
      </c>
      <c r="E30" s="106">
        <f>(1-D28)*E28</f>
        <v>0.99470264772680816</v>
      </c>
      <c r="F30" s="123">
        <f>C30*D30*$G$4*E30</f>
        <v>547.05281193354404</v>
      </c>
      <c r="G30" s="120"/>
      <c r="H30" s="120">
        <f t="shared" si="4"/>
        <v>144.86656948269567</v>
      </c>
      <c r="I30" s="120"/>
      <c r="J30" s="120"/>
      <c r="K30" s="121"/>
      <c r="L30" s="117">
        <f t="shared" si="1"/>
        <v>0.4969693635770005</v>
      </c>
      <c r="M30" s="120">
        <f>L30*D30*$G$4*E30*A30</f>
        <v>5676.9631427065888</v>
      </c>
      <c r="N30" s="120"/>
      <c r="O30" s="120">
        <f t="shared" si="5"/>
        <v>1503.3323248204267</v>
      </c>
      <c r="P30" s="120"/>
      <c r="Q30" s="120"/>
      <c r="R30" s="121"/>
    </row>
    <row r="31" spans="1:20" x14ac:dyDescent="0.25">
      <c r="A31" s="106">
        <f t="shared" si="2"/>
        <v>11.5</v>
      </c>
      <c r="B31" s="106">
        <f t="shared" si="3"/>
        <v>41.5</v>
      </c>
      <c r="C31" s="106">
        <f t="shared" si="0"/>
        <v>0.51166127587904942</v>
      </c>
      <c r="F31" s="123"/>
      <c r="G31" s="120"/>
      <c r="H31" s="120">
        <f t="shared" si="4"/>
        <v>140.70685086673859</v>
      </c>
      <c r="I31" s="120"/>
      <c r="J31" s="120"/>
      <c r="K31" s="121"/>
      <c r="L31" s="117">
        <f t="shared" si="1"/>
        <v>0.48269931686702772</v>
      </c>
      <c r="M31" s="120"/>
      <c r="N31" s="120"/>
      <c r="O31" s="120">
        <f t="shared" si="5"/>
        <v>1526.5365895919751</v>
      </c>
      <c r="P31" s="120"/>
      <c r="Q31" s="120"/>
      <c r="R31" s="121"/>
    </row>
    <row r="32" spans="1:20" x14ac:dyDescent="0.25">
      <c r="A32" s="106">
        <f t="shared" si="2"/>
        <v>12</v>
      </c>
      <c r="B32" s="106">
        <f t="shared" si="3"/>
        <v>42</v>
      </c>
      <c r="C32" s="106">
        <f t="shared" si="0"/>
        <v>0.4969693635770005</v>
      </c>
      <c r="D32" s="106">
        <f>'Q2 Base'!B25</f>
        <v>7.4399999999999998E-4</v>
      </c>
      <c r="E32" s="106">
        <f>(1-D30)*E30</f>
        <v>0.99401033468399025</v>
      </c>
      <c r="F32" s="123">
        <f>C32*D32*$G$4*E32</f>
        <v>551.29583469322006</v>
      </c>
      <c r="G32" s="120"/>
      <c r="H32" s="120">
        <f t="shared" si="4"/>
        <v>136.66657498367516</v>
      </c>
      <c r="I32" s="120"/>
      <c r="J32" s="120"/>
      <c r="K32" s="121"/>
      <c r="L32" s="117">
        <f t="shared" si="1"/>
        <v>0.46883902224245327</v>
      </c>
      <c r="M32" s="120">
        <f>L32*D32*$G$4*E32*A32</f>
        <v>6241.0849210553224</v>
      </c>
      <c r="N32" s="120"/>
      <c r="O32" s="120">
        <f t="shared" si="5"/>
        <v>1547.1687734000957</v>
      </c>
      <c r="P32" s="120"/>
      <c r="Q32" s="120"/>
      <c r="R32" s="121"/>
    </row>
    <row r="33" spans="1:20" x14ac:dyDescent="0.25">
      <c r="A33" s="106">
        <f t="shared" si="2"/>
        <v>12.5</v>
      </c>
      <c r="B33" s="106">
        <f t="shared" si="3"/>
        <v>42.5</v>
      </c>
      <c r="C33" s="106">
        <f t="shared" si="0"/>
        <v>0.48269931686702772</v>
      </c>
      <c r="F33" s="123"/>
      <c r="G33" s="120"/>
      <c r="H33" s="120">
        <f t="shared" si="4"/>
        <v>132.74231213843262</v>
      </c>
      <c r="I33" s="120"/>
      <c r="J33" s="120"/>
      <c r="K33" s="121"/>
      <c r="L33" s="117">
        <f t="shared" si="1"/>
        <v>0.45537671402549784</v>
      </c>
      <c r="M33" s="120"/>
      <c r="N33" s="120"/>
      <c r="O33" s="120">
        <f t="shared" si="5"/>
        <v>1565.3574544626488</v>
      </c>
      <c r="P33" s="120"/>
      <c r="Q33" s="120"/>
      <c r="R33" s="121"/>
    </row>
    <row r="34" spans="1:20" x14ac:dyDescent="0.25">
      <c r="A34" s="106">
        <f t="shared" si="2"/>
        <v>13</v>
      </c>
      <c r="B34" s="106">
        <f t="shared" si="3"/>
        <v>43</v>
      </c>
      <c r="C34" s="106">
        <f t="shared" si="0"/>
        <v>0.46883902224245327</v>
      </c>
      <c r="D34" s="106">
        <f>'Q2 Base'!B26</f>
        <v>7.9799999999999999E-4</v>
      </c>
      <c r="E34" s="106">
        <f>(1-D32)*E32</f>
        <v>0.99327079099498539</v>
      </c>
      <c r="F34" s="123">
        <f>C34*D34*$G$4*E34</f>
        <v>557.42387544707628</v>
      </c>
      <c r="G34" s="120"/>
      <c r="H34" s="120">
        <f t="shared" si="4"/>
        <v>128.93073111667465</v>
      </c>
      <c r="I34" s="120"/>
      <c r="J34" s="120"/>
      <c r="K34" s="121"/>
      <c r="L34" s="117">
        <f t="shared" si="1"/>
        <v>0.44230096437967292</v>
      </c>
      <c r="M34" s="120">
        <f>L34*D34*$G$4*E34*A34</f>
        <v>6836.3305479358414</v>
      </c>
      <c r="N34" s="120"/>
      <c r="O34" s="120">
        <f t="shared" si="5"/>
        <v>1581.2259476573308</v>
      </c>
      <c r="P34" s="120"/>
      <c r="Q34" s="120"/>
      <c r="R34" s="121"/>
    </row>
    <row r="35" spans="1:20" x14ac:dyDescent="0.25">
      <c r="A35" s="106">
        <f t="shared" si="2"/>
        <v>13.5</v>
      </c>
      <c r="B35" s="106">
        <f t="shared" si="3"/>
        <v>43.5</v>
      </c>
      <c r="C35" s="106">
        <f t="shared" si="0"/>
        <v>0.45537671402549784</v>
      </c>
      <c r="F35" s="123"/>
      <c r="G35" s="120"/>
      <c r="H35" s="120">
        <f t="shared" si="4"/>
        <v>125.22859635701191</v>
      </c>
      <c r="I35" s="120"/>
      <c r="J35" s="120"/>
      <c r="K35" s="121"/>
      <c r="L35" s="117">
        <f t="shared" si="1"/>
        <v>0.42960067360896026</v>
      </c>
      <c r="M35" s="120"/>
      <c r="N35" s="120"/>
      <c r="O35" s="120">
        <f t="shared" si="5"/>
        <v>1594.8925007732651</v>
      </c>
      <c r="P35" s="120"/>
      <c r="Q35" s="120"/>
      <c r="R35" s="121"/>
    </row>
    <row r="36" spans="1:20" x14ac:dyDescent="0.25">
      <c r="A36" s="106">
        <f t="shared" si="2"/>
        <v>14</v>
      </c>
      <c r="B36" s="106">
        <f t="shared" si="3"/>
        <v>44</v>
      </c>
      <c r="C36" s="106">
        <f t="shared" si="0"/>
        <v>0.44230096437967292</v>
      </c>
      <c r="D36" s="106">
        <f>'Q2 Base'!B27</f>
        <v>8.5999999999999998E-4</v>
      </c>
      <c r="E36" s="106">
        <f>(1-D34)*E34</f>
        <v>0.99247816090377139</v>
      </c>
      <c r="F36" s="123">
        <f>C36*D36*$G$4*E36</f>
        <v>566.27652152461792</v>
      </c>
      <c r="G36" s="120"/>
      <c r="H36" s="120">
        <f t="shared" si="4"/>
        <v>121.63276520441006</v>
      </c>
      <c r="I36" s="120"/>
      <c r="J36" s="120"/>
      <c r="K36" s="121"/>
      <c r="L36" s="117">
        <f t="shared" si="1"/>
        <v>0.41726506073554037</v>
      </c>
      <c r="M36" s="120">
        <f>L36*D36*$G$4*E36*A36</f>
        <v>7479.1238691930648</v>
      </c>
      <c r="N36" s="120"/>
      <c r="O36" s="120">
        <f t="shared" si="5"/>
        <v>1606.4704838318305</v>
      </c>
      <c r="P36" s="120"/>
      <c r="Q36" s="120"/>
      <c r="R36" s="121"/>
      <c r="T36" s="124"/>
    </row>
    <row r="37" spans="1:20" x14ac:dyDescent="0.25">
      <c r="A37" s="106">
        <f t="shared" si="2"/>
        <v>14.5</v>
      </c>
      <c r="B37" s="106">
        <f t="shared" si="3"/>
        <v>44.5</v>
      </c>
      <c r="C37" s="106">
        <f t="shared" si="0"/>
        <v>0.42960067360896026</v>
      </c>
      <c r="F37" s="123"/>
      <c r="G37" s="120"/>
      <c r="H37" s="120">
        <f t="shared" si="4"/>
        <v>118.14018524246407</v>
      </c>
      <c r="I37" s="120"/>
      <c r="J37" s="120"/>
      <c r="K37" s="121"/>
      <c r="L37" s="117">
        <f t="shared" si="1"/>
        <v>0.40528365434807562</v>
      </c>
      <c r="M37" s="120"/>
      <c r="N37" s="120"/>
      <c r="O37" s="120">
        <f t="shared" si="5"/>
        <v>1616.0685717129516</v>
      </c>
      <c r="P37" s="120"/>
      <c r="Q37" s="120"/>
      <c r="R37" s="121"/>
    </row>
    <row r="38" spans="1:20" x14ac:dyDescent="0.25">
      <c r="A38" s="106">
        <f t="shared" si="2"/>
        <v>15</v>
      </c>
      <c r="B38" s="106">
        <f t="shared" si="3"/>
        <v>45</v>
      </c>
      <c r="C38" s="106">
        <f t="shared" si="0"/>
        <v>0.41726506073554037</v>
      </c>
      <c r="D38" s="106">
        <f>'Q2 Base'!B28</f>
        <v>9.2900000000000003E-4</v>
      </c>
      <c r="E38" s="106">
        <f>(1-D36)*E36</f>
        <v>0.99162462968539422</v>
      </c>
      <c r="F38" s="123">
        <f>C38*D38*$G$4*E38</f>
        <v>576.58892884188572</v>
      </c>
      <c r="G38" s="120"/>
      <c r="H38" s="120">
        <f t="shared" si="4"/>
        <v>114.74789170227361</v>
      </c>
      <c r="I38" s="120"/>
      <c r="J38" s="120"/>
      <c r="K38" s="121"/>
      <c r="L38" s="117">
        <f t="shared" si="1"/>
        <v>0.39364628371277405</v>
      </c>
      <c r="M38" s="120">
        <f>L38*D38*$G$4*E38*A38</f>
        <v>8159.2772949323471</v>
      </c>
      <c r="N38" s="120"/>
      <c r="O38" s="120">
        <f t="shared" si="5"/>
        <v>1623.790920315193</v>
      </c>
      <c r="P38" s="120"/>
      <c r="Q38" s="120"/>
      <c r="R38" s="121"/>
    </row>
    <row r="39" spans="1:20" x14ac:dyDescent="0.25">
      <c r="A39" s="106">
        <f t="shared" si="2"/>
        <v>15.5</v>
      </c>
      <c r="B39" s="106">
        <f t="shared" si="3"/>
        <v>45.5</v>
      </c>
      <c r="C39" s="106">
        <f t="shared" si="0"/>
        <v>0.40528365434807562</v>
      </c>
      <c r="F39" s="123"/>
      <c r="G39" s="120"/>
      <c r="H39" s="120">
        <f t="shared" si="4"/>
        <v>111.45300494572079</v>
      </c>
      <c r="I39" s="120"/>
      <c r="J39" s="120"/>
      <c r="K39" s="121"/>
      <c r="L39" s="117">
        <f t="shared" si="1"/>
        <v>0.38234307013969404</v>
      </c>
      <c r="M39" s="120"/>
      <c r="N39" s="120"/>
      <c r="O39" s="120">
        <f t="shared" si="5"/>
        <v>1629.7373364704458</v>
      </c>
      <c r="P39" s="120"/>
      <c r="Q39" s="120"/>
      <c r="R39" s="121"/>
    </row>
    <row r="40" spans="1:20" x14ac:dyDescent="0.25">
      <c r="A40" s="106">
        <f t="shared" si="2"/>
        <v>16</v>
      </c>
      <c r="B40" s="106">
        <f t="shared" si="3"/>
        <v>46</v>
      </c>
      <c r="C40" s="106">
        <f t="shared" si="0"/>
        <v>0.39364628371277405</v>
      </c>
      <c r="D40" s="106">
        <f>'Q2 Base'!B29</f>
        <v>1.008E-3</v>
      </c>
      <c r="E40" s="106">
        <f>(1-D38)*E38</f>
        <v>0.99070341040441656</v>
      </c>
      <c r="F40" s="123">
        <f>C40*D40*$G$4*E40</f>
        <v>589.6599142401119</v>
      </c>
      <c r="G40" s="120"/>
      <c r="H40" s="120">
        <f t="shared" si="4"/>
        <v>108.25272802101287</v>
      </c>
      <c r="I40" s="120"/>
      <c r="J40" s="120"/>
      <c r="K40" s="121"/>
      <c r="L40" s="117">
        <f t="shared" si="1"/>
        <v>0.37136441859695657</v>
      </c>
      <c r="M40" s="120">
        <f>L40*D40*$G$4*E40*A40</f>
        <v>8900.5270073979136</v>
      </c>
      <c r="N40" s="120"/>
      <c r="O40" s="120">
        <f t="shared" si="5"/>
        <v>1634.0034418266089</v>
      </c>
      <c r="P40" s="120"/>
      <c r="Q40" s="120"/>
      <c r="R40" s="121"/>
    </row>
    <row r="41" spans="1:20" x14ac:dyDescent="0.25">
      <c r="A41" s="106">
        <f t="shared" si="2"/>
        <v>16.5</v>
      </c>
      <c r="B41" s="106">
        <f t="shared" si="3"/>
        <v>46.5</v>
      </c>
      <c r="C41" s="106">
        <f t="shared" si="0"/>
        <v>0.38234307013969404</v>
      </c>
      <c r="F41" s="123"/>
      <c r="G41" s="120"/>
      <c r="H41" s="120">
        <f t="shared" si="4"/>
        <v>105.14434428841587</v>
      </c>
      <c r="I41" s="120"/>
      <c r="J41" s="120"/>
      <c r="K41" s="121"/>
      <c r="L41" s="117">
        <f t="shared" si="1"/>
        <v>0.36070100956574902</v>
      </c>
      <c r="M41" s="120"/>
      <c r="N41" s="120"/>
      <c r="O41" s="120">
        <f t="shared" si="5"/>
        <v>1636.6808309045864</v>
      </c>
      <c r="P41" s="120"/>
      <c r="Q41" s="120"/>
      <c r="R41" s="121"/>
    </row>
    <row r="42" spans="1:20" x14ac:dyDescent="0.25">
      <c r="A42" s="106">
        <f t="shared" si="2"/>
        <v>17</v>
      </c>
      <c r="B42" s="106">
        <f t="shared" si="3"/>
        <v>47</v>
      </c>
      <c r="C42" s="106">
        <f t="shared" si="0"/>
        <v>0.37136441859695657</v>
      </c>
      <c r="D42" s="106">
        <f>'Q2 Base'!B30</f>
        <v>1.098E-3</v>
      </c>
      <c r="E42" s="106">
        <f>(1-D40)*E40</f>
        <v>0.9897047813667289</v>
      </c>
      <c r="F42" s="123">
        <f>C42*D42*$G$4*E42</f>
        <v>605.34025875741281</v>
      </c>
      <c r="G42" s="120"/>
      <c r="H42" s="120">
        <f t="shared" si="4"/>
        <v>102.12521511416305</v>
      </c>
      <c r="I42" s="120"/>
      <c r="J42" s="120"/>
      <c r="K42" s="121"/>
      <c r="L42" s="117">
        <f t="shared" si="1"/>
        <v>0.35034379112920433</v>
      </c>
      <c r="M42" s="120">
        <f>L42*D42*$G$4*E42*A42</f>
        <v>9708.2871687509596</v>
      </c>
      <c r="N42" s="120"/>
      <c r="O42" s="120">
        <f t="shared" si="5"/>
        <v>1637.8572235290303</v>
      </c>
      <c r="P42" s="120"/>
      <c r="Q42" s="120"/>
      <c r="R42" s="121"/>
    </row>
    <row r="43" spans="1:20" x14ac:dyDescent="0.25">
      <c r="A43" s="106">
        <f t="shared" si="2"/>
        <v>17.5</v>
      </c>
      <c r="B43" s="106">
        <f t="shared" si="3"/>
        <v>47.5</v>
      </c>
      <c r="C43" s="106">
        <f t="shared" si="0"/>
        <v>0.36070100956574902</v>
      </c>
      <c r="F43" s="123"/>
      <c r="G43" s="120"/>
      <c r="H43" s="120">
        <f t="shared" si="4"/>
        <v>99.192777630580991</v>
      </c>
      <c r="I43" s="120"/>
      <c r="J43" s="120"/>
      <c r="K43" s="121"/>
      <c r="L43" s="117">
        <f t="shared" si="1"/>
        <v>0.34028397128844246</v>
      </c>
      <c r="M43" s="120"/>
      <c r="N43" s="120"/>
      <c r="O43" s="120">
        <f t="shared" si="5"/>
        <v>1637.6166118256294</v>
      </c>
      <c r="P43" s="120"/>
      <c r="Q43" s="120"/>
      <c r="R43" s="121"/>
    </row>
    <row r="44" spans="1:20" x14ac:dyDescent="0.25">
      <c r="A44" s="106">
        <f t="shared" si="2"/>
        <v>18</v>
      </c>
      <c r="B44" s="106">
        <f t="shared" si="3"/>
        <v>48</v>
      </c>
      <c r="C44" s="106">
        <f t="shared" si="0"/>
        <v>0.35034379112920433</v>
      </c>
      <c r="D44" s="106">
        <f>'Q2 Base'!B31</f>
        <v>1.1999999999999999E-3</v>
      </c>
      <c r="E44" s="106">
        <f>(1-D42)*E42</f>
        <v>0.9886180855167882</v>
      </c>
      <c r="F44" s="123">
        <f>C44*D44*$G$4*E44</f>
        <v>623.44117450592546</v>
      </c>
      <c r="G44" s="120"/>
      <c r="H44" s="120">
        <f t="shared" si="4"/>
        <v>96.344542560531195</v>
      </c>
      <c r="I44" s="120"/>
      <c r="J44" s="120"/>
      <c r="K44" s="121"/>
      <c r="L44" s="117">
        <f t="shared" si="1"/>
        <v>0.3305130104992493</v>
      </c>
      <c r="M44" s="120">
        <f>L44*D44*$G$4*E44*A44</f>
        <v>10586.736925572317</v>
      </c>
      <c r="N44" s="120"/>
      <c r="O44" s="120">
        <f t="shared" si="5"/>
        <v>1636.0394019712842</v>
      </c>
      <c r="P44" s="120"/>
      <c r="Q44" s="120"/>
      <c r="R44" s="121"/>
    </row>
    <row r="45" spans="1:20" x14ac:dyDescent="0.25">
      <c r="A45" s="106">
        <f t="shared" si="2"/>
        <v>18.5</v>
      </c>
      <c r="B45" s="106">
        <f t="shared" si="3"/>
        <v>48.5</v>
      </c>
      <c r="C45" s="106">
        <f t="shared" si="0"/>
        <v>0.34028397128844246</v>
      </c>
      <c r="F45" s="123"/>
      <c r="G45" s="120"/>
      <c r="H45" s="120">
        <f t="shared" si="4"/>
        <v>93.578092104321684</v>
      </c>
      <c r="I45" s="120"/>
      <c r="J45" s="120"/>
      <c r="K45" s="121"/>
      <c r="L45" s="117">
        <f t="shared" si="1"/>
        <v>0.32102261442305891</v>
      </c>
      <c r="M45" s="120"/>
      <c r="N45" s="120"/>
      <c r="O45" s="120">
        <f t="shared" si="5"/>
        <v>1633.2025508773122</v>
      </c>
      <c r="P45" s="120"/>
      <c r="Q45" s="120"/>
      <c r="R45" s="121"/>
    </row>
    <row r="46" spans="1:20" x14ac:dyDescent="0.25">
      <c r="A46" s="106">
        <f t="shared" si="2"/>
        <v>19</v>
      </c>
      <c r="B46" s="106">
        <f t="shared" si="3"/>
        <v>49</v>
      </c>
      <c r="C46" s="106">
        <f t="shared" si="0"/>
        <v>0.3305130104992493</v>
      </c>
      <c r="D46" s="106">
        <f>'Q2 Base'!B32</f>
        <v>1.315E-3</v>
      </c>
      <c r="E46" s="106">
        <f>(1-D44)*E44</f>
        <v>0.98743174381416809</v>
      </c>
      <c r="F46" s="123">
        <f>C46*D46*$G$4*E46</f>
        <v>643.74320306754839</v>
      </c>
      <c r="G46" s="120"/>
      <c r="H46" s="120">
        <f t="shared" si="4"/>
        <v>90.891077887293562</v>
      </c>
      <c r="I46" s="120"/>
      <c r="J46" s="120"/>
      <c r="K46" s="121"/>
      <c r="L46" s="117">
        <f t="shared" si="1"/>
        <v>0.31180472688608429</v>
      </c>
      <c r="M46" s="120">
        <f>L46*D46*$G$4*E46*A46</f>
        <v>11538.79326253153</v>
      </c>
      <c r="N46" s="120"/>
      <c r="O46" s="120">
        <f t="shared" si="5"/>
        <v>1629.1796979797905</v>
      </c>
      <c r="P46" s="120"/>
      <c r="Q46" s="120"/>
      <c r="R46" s="121"/>
    </row>
    <row r="47" spans="1:20" x14ac:dyDescent="0.25">
      <c r="A47" s="106">
        <f t="shared" si="2"/>
        <v>19.5</v>
      </c>
      <c r="B47" s="106">
        <f t="shared" si="3"/>
        <v>49.5</v>
      </c>
      <c r="C47" s="106">
        <f t="shared" si="0"/>
        <v>0.32102261442305891</v>
      </c>
      <c r="F47" s="123"/>
      <c r="G47" s="120"/>
      <c r="H47" s="120">
        <f t="shared" si="4"/>
        <v>88.2812189663412</v>
      </c>
      <c r="I47" s="120"/>
      <c r="J47" s="120"/>
      <c r="K47" s="121"/>
      <c r="L47" s="117">
        <f t="shared" si="1"/>
        <v>0.30285152304062163</v>
      </c>
      <c r="M47" s="120"/>
      <c r="N47" s="120"/>
      <c r="O47" s="120">
        <f t="shared" si="5"/>
        <v>1624.0412923053339</v>
      </c>
      <c r="P47" s="120"/>
      <c r="Q47" s="120"/>
      <c r="R47" s="121"/>
    </row>
    <row r="48" spans="1:20" x14ac:dyDescent="0.25">
      <c r="A48" s="106">
        <f t="shared" si="2"/>
        <v>20</v>
      </c>
      <c r="B48" s="106">
        <f t="shared" si="3"/>
        <v>50</v>
      </c>
      <c r="C48" s="106">
        <f t="shared" si="0"/>
        <v>0.31180472688608429</v>
      </c>
      <c r="D48" s="106">
        <f>'Q2 Base'!B33</f>
        <v>1.4469999999999999E-3</v>
      </c>
      <c r="E48" s="106">
        <f>(1-D46)*E46</f>
        <v>0.98613327107105253</v>
      </c>
      <c r="F48" s="123">
        <f>C48*D48*$G$4*E48</f>
        <v>667.38754362094107</v>
      </c>
      <c r="G48" s="120">
        <f>C48*E48*$G$4*(1-D48)</f>
        <v>460554.13534576475</v>
      </c>
      <c r="H48" s="120">
        <f t="shared" si="4"/>
        <v>85.746299893673182</v>
      </c>
      <c r="I48" s="120">
        <f>$H$4*$I$3*C48</f>
        <v>18006.722977671368</v>
      </c>
      <c r="J48" s="120"/>
      <c r="K48" s="121"/>
      <c r="L48" s="117">
        <f t="shared" si="1"/>
        <v>0.29415540272272095</v>
      </c>
      <c r="M48" s="120">
        <f>L48*D48*$G$4*E48*A48</f>
        <v>12592.217804168695</v>
      </c>
      <c r="N48" s="120">
        <f>L48*E48*$G$4*(1-D48)*A48</f>
        <v>8689700.6669012196</v>
      </c>
      <c r="O48" s="120">
        <f t="shared" si="5"/>
        <v>1617.8547149749652</v>
      </c>
      <c r="P48" s="120">
        <f>$H$4*$I$3*L48*A48</f>
        <v>339749.49014474265</v>
      </c>
      <c r="Q48" s="120"/>
      <c r="R48" s="121"/>
    </row>
    <row r="49" spans="1:18" x14ac:dyDescent="0.25">
      <c r="A49" s="106">
        <f t="shared" si="2"/>
        <v>20.5</v>
      </c>
      <c r="B49" s="106">
        <f t="shared" si="3"/>
        <v>50.5</v>
      </c>
      <c r="C49" s="106">
        <f t="shared" si="0"/>
        <v>0.30285152304062163</v>
      </c>
      <c r="F49" s="123"/>
      <c r="G49" s="120"/>
      <c r="J49" s="120"/>
      <c r="K49" s="121"/>
      <c r="L49" s="117">
        <f t="shared" si="1"/>
        <v>0.28570898400058636</v>
      </c>
      <c r="M49" s="120"/>
      <c r="N49" s="120"/>
      <c r="O49" s="120"/>
      <c r="Q49" s="120"/>
      <c r="R49" s="121"/>
    </row>
    <row r="50" spans="1:18" x14ac:dyDescent="0.25">
      <c r="A50" s="106">
        <f t="shared" si="2"/>
        <v>21</v>
      </c>
      <c r="B50" s="106">
        <f t="shared" si="3"/>
        <v>51</v>
      </c>
      <c r="C50" s="106">
        <f t="shared" si="0"/>
        <v>0.29415540272272095</v>
      </c>
      <c r="F50" s="123"/>
      <c r="G50" s="120"/>
      <c r="H50" s="120"/>
      <c r="I50" s="120"/>
      <c r="J50" s="120"/>
      <c r="K50" s="121"/>
      <c r="L50" s="117">
        <f t="shared" si="1"/>
        <v>0.27750509690822728</v>
      </c>
      <c r="M50" s="120"/>
      <c r="N50" s="120"/>
      <c r="O50" s="120"/>
      <c r="P50" s="120"/>
      <c r="Q50" s="120"/>
      <c r="R50" s="121"/>
    </row>
    <row r="51" spans="1:18" x14ac:dyDescent="0.25">
      <c r="A51" s="106">
        <f t="shared" si="2"/>
        <v>21.5</v>
      </c>
      <c r="B51" s="106">
        <f t="shared" si="3"/>
        <v>51.5</v>
      </c>
      <c r="C51" s="106">
        <f t="shared" si="0"/>
        <v>0.28570898400058636</v>
      </c>
      <c r="F51" s="123"/>
      <c r="G51" s="120"/>
      <c r="H51" s="120"/>
      <c r="I51" s="120"/>
      <c r="J51" s="120"/>
      <c r="K51" s="121"/>
      <c r="L51" s="117">
        <f t="shared" si="1"/>
        <v>0.26953677735904374</v>
      </c>
      <c r="M51" s="120"/>
      <c r="N51" s="120"/>
      <c r="O51" s="120"/>
      <c r="P51" s="120"/>
      <c r="Q51" s="120"/>
      <c r="R51" s="121"/>
    </row>
    <row r="52" spans="1:18" x14ac:dyDescent="0.25">
      <c r="A52" s="106">
        <f t="shared" si="2"/>
        <v>22</v>
      </c>
      <c r="B52" s="106">
        <f t="shared" si="3"/>
        <v>52</v>
      </c>
      <c r="C52" s="106">
        <f t="shared" si="0"/>
        <v>0.27750509690822728</v>
      </c>
      <c r="F52" s="123"/>
      <c r="G52" s="120"/>
      <c r="J52" s="120"/>
      <c r="K52" s="121"/>
      <c r="L52" s="117">
        <f t="shared" si="1"/>
        <v>0.26179726123417668</v>
      </c>
      <c r="M52" s="120"/>
      <c r="N52" s="120"/>
      <c r="Q52" s="120"/>
      <c r="R52" s="121"/>
    </row>
    <row r="53" spans="1:18" x14ac:dyDescent="0.25">
      <c r="A53" s="106">
        <f t="shared" si="2"/>
        <v>22.5</v>
      </c>
      <c r="B53" s="106">
        <f t="shared" si="3"/>
        <v>52.5</v>
      </c>
      <c r="C53" s="106">
        <f t="shared" si="0"/>
        <v>0.26953677735904374</v>
      </c>
      <c r="F53" s="123"/>
      <c r="G53" s="120"/>
      <c r="J53" s="120"/>
      <c r="K53" s="121"/>
      <c r="L53" s="117">
        <f t="shared" si="1"/>
        <v>0.25427997864060731</v>
      </c>
      <c r="M53" s="120"/>
      <c r="N53" s="120"/>
      <c r="Q53" s="120"/>
      <c r="R53" s="121"/>
    </row>
    <row r="54" spans="1:18" x14ac:dyDescent="0.25">
      <c r="A54" s="106">
        <f t="shared" si="2"/>
        <v>23</v>
      </c>
      <c r="B54" s="106">
        <f t="shared" si="3"/>
        <v>53</v>
      </c>
      <c r="C54" s="106">
        <f t="shared" si="0"/>
        <v>0.26179726123417668</v>
      </c>
      <c r="F54" s="123"/>
      <c r="G54" s="120"/>
      <c r="J54" s="120"/>
      <c r="K54" s="121"/>
      <c r="L54" s="117">
        <f t="shared" si="1"/>
        <v>0.24697854833412897</v>
      </c>
      <c r="M54" s="120"/>
      <c r="N54" s="120"/>
      <c r="Q54" s="120"/>
      <c r="R54" s="121"/>
    </row>
    <row r="55" spans="1:18" x14ac:dyDescent="0.25">
      <c r="A55" s="106">
        <f t="shared" si="2"/>
        <v>23.5</v>
      </c>
      <c r="B55" s="106">
        <f t="shared" si="3"/>
        <v>53.5</v>
      </c>
      <c r="C55" s="106">
        <f t="shared" si="0"/>
        <v>0.25427997864060731</v>
      </c>
      <c r="F55" s="123"/>
      <c r="G55" s="120"/>
      <c r="J55" s="120"/>
      <c r="K55" s="121"/>
      <c r="L55" s="117">
        <f t="shared" si="1"/>
        <v>0.23988677230245972</v>
      </c>
      <c r="M55" s="120"/>
      <c r="N55" s="120"/>
      <c r="Q55" s="120"/>
      <c r="R55" s="121"/>
    </row>
    <row r="56" spans="1:18" x14ac:dyDescent="0.25">
      <c r="A56" s="106">
        <f t="shared" si="2"/>
        <v>24</v>
      </c>
      <c r="B56" s="106">
        <f t="shared" si="3"/>
        <v>54</v>
      </c>
      <c r="C56" s="106">
        <f t="shared" si="0"/>
        <v>0.24697854833412897</v>
      </c>
      <c r="F56" s="123"/>
      <c r="G56" s="120"/>
      <c r="J56" s="120"/>
      <c r="K56" s="121"/>
      <c r="L56" s="117">
        <f t="shared" si="1"/>
        <v>0.23299863050389524</v>
      </c>
      <c r="M56" s="120"/>
      <c r="N56" s="120"/>
      <c r="Q56" s="120"/>
      <c r="R56" s="121"/>
    </row>
    <row r="57" spans="1:18" x14ac:dyDescent="0.25">
      <c r="A57" s="106">
        <f t="shared" si="2"/>
        <v>24.5</v>
      </c>
      <c r="B57" s="106">
        <f t="shared" si="3"/>
        <v>54.5</v>
      </c>
      <c r="C57" s="106">
        <f t="shared" si="0"/>
        <v>0.23988677230245972</v>
      </c>
      <c r="F57" s="123"/>
      <c r="G57" s="120"/>
      <c r="J57" s="120"/>
      <c r="K57" s="121"/>
      <c r="L57" s="117">
        <f t="shared" si="1"/>
        <v>0.22630827575703746</v>
      </c>
      <c r="M57" s="120"/>
      <c r="N57" s="120"/>
      <c r="Q57" s="120"/>
      <c r="R57" s="121"/>
    </row>
    <row r="58" spans="1:18" x14ac:dyDescent="0.25">
      <c r="A58" s="106">
        <f t="shared" si="2"/>
        <v>25</v>
      </c>
      <c r="B58" s="106">
        <f t="shared" si="3"/>
        <v>55</v>
      </c>
      <c r="C58" s="106">
        <f t="shared" si="0"/>
        <v>0.23299863050389524</v>
      </c>
      <c r="F58" s="123"/>
      <c r="G58" s="120"/>
      <c r="J58" s="120"/>
      <c r="K58" s="121">
        <f>$K$4*C58</f>
        <v>296213.56391664513</v>
      </c>
      <c r="L58" s="117">
        <f t="shared" si="1"/>
        <v>0.21981002877725966</v>
      </c>
      <c r="M58" s="120"/>
      <c r="N58" s="120"/>
      <c r="Q58" s="120"/>
      <c r="R58" s="121">
        <f>$K$4*L58*A58</f>
        <v>6986168.9602982337</v>
      </c>
    </row>
    <row r="59" spans="1:18" x14ac:dyDescent="0.25">
      <c r="F59" s="117"/>
      <c r="K59" s="116"/>
      <c r="L59" s="117"/>
      <c r="R59" s="116"/>
    </row>
    <row r="60" spans="1:18" x14ac:dyDescent="0.25">
      <c r="E60" s="122" t="s">
        <v>118</v>
      </c>
      <c r="F60" s="125">
        <f t="shared" ref="F60:K60" si="6">SUM(F8:F59)</f>
        <v>11657.51502070549</v>
      </c>
      <c r="G60" s="126">
        <f t="shared" si="6"/>
        <v>460554.13534576475</v>
      </c>
      <c r="H60" s="126">
        <f t="shared" si="6"/>
        <v>6401.7051669521297</v>
      </c>
      <c r="I60" s="126">
        <f t="shared" si="6"/>
        <v>18006.722977671368</v>
      </c>
      <c r="J60" s="126">
        <f t="shared" si="6"/>
        <v>151589.65830519993</v>
      </c>
      <c r="K60" s="126">
        <f t="shared" si="6"/>
        <v>296213.56391664513</v>
      </c>
      <c r="L60" s="117"/>
      <c r="M60" s="126">
        <f t="shared" ref="M60:R60" si="7">SUM(M8:M59)</f>
        <v>116746.52218873911</v>
      </c>
      <c r="N60" s="126">
        <f t="shared" si="7"/>
        <v>8689700.6669012196</v>
      </c>
      <c r="O60" s="126">
        <f t="shared" si="7"/>
        <v>50437.622559961739</v>
      </c>
      <c r="P60" s="126">
        <f t="shared" si="7"/>
        <v>339749.49014474265</v>
      </c>
      <c r="Q60" s="126">
        <f t="shared" si="7"/>
        <v>1430091.1160867917</v>
      </c>
      <c r="R60" s="127">
        <f t="shared" si="7"/>
        <v>6986168.9602982337</v>
      </c>
    </row>
    <row r="61" spans="1:18" x14ac:dyDescent="0.25">
      <c r="E61" s="122"/>
      <c r="F61" s="117"/>
      <c r="K61" s="116"/>
      <c r="L61" s="117"/>
      <c r="R61" s="116"/>
    </row>
    <row r="62" spans="1:18" x14ac:dyDescent="0.25">
      <c r="E62" s="122" t="s">
        <v>119</v>
      </c>
      <c r="F62" s="117"/>
      <c r="G62" s="126">
        <f>F60+G60</f>
        <v>472211.65036647022</v>
      </c>
      <c r="H62" s="396"/>
      <c r="K62" s="116"/>
      <c r="L62" s="117"/>
      <c r="M62" s="122" t="s">
        <v>120</v>
      </c>
      <c r="N62" s="126">
        <f>M60+N60</f>
        <v>8806447.1890899595</v>
      </c>
      <c r="R62" s="116"/>
    </row>
    <row r="63" spans="1:18" x14ac:dyDescent="0.25">
      <c r="E63" s="122"/>
      <c r="F63" s="117"/>
      <c r="H63" s="396"/>
      <c r="K63" s="116"/>
      <c r="L63" s="117"/>
      <c r="M63" s="122"/>
      <c r="R63" s="116"/>
    </row>
    <row r="64" spans="1:18" x14ac:dyDescent="0.25">
      <c r="E64" s="122" t="s">
        <v>121</v>
      </c>
      <c r="F64" s="117"/>
      <c r="G64" s="126">
        <f>SUM(H60:K60)</f>
        <v>472211.65036646859</v>
      </c>
      <c r="H64" s="396"/>
      <c r="K64" s="116"/>
      <c r="L64" s="117"/>
      <c r="M64" s="122" t="s">
        <v>122</v>
      </c>
      <c r="N64" s="126">
        <f>SUM(O60:R60)</f>
        <v>8806447.1890897304</v>
      </c>
      <c r="R64" s="116"/>
    </row>
    <row r="65" spans="5:18" x14ac:dyDescent="0.25">
      <c r="F65" s="117"/>
      <c r="K65" s="116"/>
      <c r="L65" s="117"/>
      <c r="M65" s="122"/>
      <c r="R65" s="116"/>
    </row>
    <row r="66" spans="5:18" x14ac:dyDescent="0.25">
      <c r="F66" s="117"/>
      <c r="G66" s="126"/>
      <c r="K66" s="116"/>
      <c r="L66" s="117"/>
      <c r="M66" s="122" t="s">
        <v>123</v>
      </c>
      <c r="N66" s="126">
        <f>N62/G62</f>
        <v>18.649364500548689</v>
      </c>
      <c r="O66" s="108"/>
      <c r="R66" s="116"/>
    </row>
    <row r="67" spans="5:18" x14ac:dyDescent="0.25">
      <c r="F67" s="117"/>
      <c r="K67" s="116"/>
      <c r="L67" s="117"/>
      <c r="M67" s="122"/>
      <c r="O67" s="114"/>
      <c r="R67" s="116"/>
    </row>
    <row r="68" spans="5:18" x14ac:dyDescent="0.25">
      <c r="F68" s="128"/>
      <c r="G68" s="129"/>
      <c r="H68" s="129"/>
      <c r="I68" s="129"/>
      <c r="J68" s="129"/>
      <c r="K68" s="130"/>
      <c r="L68" s="128"/>
      <c r="M68" s="131" t="s">
        <v>124</v>
      </c>
      <c r="N68" s="132">
        <f>N64/G64</f>
        <v>18.64936450054827</v>
      </c>
      <c r="O68" s="133"/>
      <c r="P68" s="129"/>
      <c r="Q68" s="129"/>
      <c r="R68" s="130"/>
    </row>
    <row r="71" spans="5:18" x14ac:dyDescent="0.25">
      <c r="E71" s="398" t="s">
        <v>237</v>
      </c>
      <c r="F71" s="126">
        <f>G62-G64</f>
        <v>1.6298145055770874E-9</v>
      </c>
      <c r="G71" s="397" t="s">
        <v>240</v>
      </c>
      <c r="J71" s="162" t="s">
        <v>35</v>
      </c>
      <c r="K71" s="397" t="s">
        <v>241</v>
      </c>
      <c r="O71" s="162" t="s">
        <v>47</v>
      </c>
    </row>
    <row r="72" spans="5:18" x14ac:dyDescent="0.25">
      <c r="E72" s="398" t="s">
        <v>238</v>
      </c>
      <c r="F72" s="399">
        <f>N66-N68</f>
        <v>4.1922021409845911E-13</v>
      </c>
      <c r="G72" s="397" t="s">
        <v>239</v>
      </c>
      <c r="J72" s="162" t="s">
        <v>35</v>
      </c>
      <c r="K72" s="397" t="s">
        <v>242</v>
      </c>
    </row>
    <row r="73" spans="5:18" x14ac:dyDescent="0.25">
      <c r="K73" s="397" t="s">
        <v>243</v>
      </c>
    </row>
    <row r="74" spans="5:18" x14ac:dyDescent="0.25">
      <c r="F74" s="397"/>
    </row>
  </sheetData>
  <mergeCells count="6">
    <mergeCell ref="F5:K5"/>
    <mergeCell ref="M5:R5"/>
    <mergeCell ref="M1:N1"/>
    <mergeCell ref="O1:P1"/>
    <mergeCell ref="F3:G3"/>
    <mergeCell ref="M3:N3"/>
  </mergeCells>
  <printOptions gridLines="1"/>
  <pageMargins left="0.7" right="0.7" top="0.75" bottom="0.75" header="0.5" footer="0.5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FBD0687CCFA64A90892C425F7C4312" ma:contentTypeVersion="15" ma:contentTypeDescription="Create a new document." ma:contentTypeScope="" ma:versionID="17303ae127fa026b63918438e2020f63">
  <xsd:schema xmlns:xsd="http://www.w3.org/2001/XMLSchema" xmlns:xs="http://www.w3.org/2001/XMLSchema" xmlns:p="http://schemas.microsoft.com/office/2006/metadata/properties" xmlns:ns2="cfdab824-e670-41f2-a5ee-7d4504103506" xmlns:ns3="e0a82e4c-fab7-409b-9177-d9582bcd9bf0" targetNamespace="http://schemas.microsoft.com/office/2006/metadata/properties" ma:root="true" ma:fieldsID="081fd75341a3a3a7f2e509c397fd3632" ns2:_="" ns3:_="">
    <xsd:import namespace="cfdab824-e670-41f2-a5ee-7d4504103506"/>
    <xsd:import namespace="e0a82e4c-fab7-409b-9177-d9582bcd9b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ab824-e670-41f2-a5ee-7d45041035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c5664ec-2097-44f6-aef9-a995d752de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82e4c-fab7-409b-9177-d9582bcd9bf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7052dd5-5980-458a-a238-fb2113b35011}" ma:internalName="TaxCatchAll" ma:showField="CatchAllData" ma:web="e0a82e4c-fab7-409b-9177-d9582bcd9b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a82e4c-fab7-409b-9177-d9582bcd9bf0" xsi:nil="true"/>
    <lcf76f155ced4ddcb4097134ff3c332f xmlns="cfdab824-e670-41f2-a5ee-7d450410350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343154C-E967-40AB-8106-160211A641D4}"/>
</file>

<file path=customXml/itemProps2.xml><?xml version="1.0" encoding="utf-8"?>
<ds:datastoreItem xmlns:ds="http://schemas.openxmlformats.org/officeDocument/2006/customXml" ds:itemID="{EC6D7DA1-62B1-4FF7-9E58-A04CA212CE88}"/>
</file>

<file path=customXml/itemProps3.xml><?xml version="1.0" encoding="utf-8"?>
<ds:datastoreItem xmlns:ds="http://schemas.openxmlformats.org/officeDocument/2006/customXml" ds:itemID="{CF567D8C-60C9-4F6B-91D6-E009BE7E69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4</vt:i4>
      </vt:variant>
    </vt:vector>
  </HeadingPairs>
  <TitlesOfParts>
    <vt:vector size="22" baseType="lpstr">
      <vt:lpstr>Q1 Base</vt:lpstr>
      <vt:lpstr>Q1 (i) and (ii)</vt:lpstr>
      <vt:lpstr>Q1 (iii)</vt:lpstr>
      <vt:lpstr>Q1 (iii) Alternative</vt:lpstr>
      <vt:lpstr>Q1 Answers</vt:lpstr>
      <vt:lpstr>Q2 Base</vt:lpstr>
      <vt:lpstr>Q2 (i) and (ii)</vt:lpstr>
      <vt:lpstr>Q2 (iii) (a)</vt:lpstr>
      <vt:lpstr>Q2 (iii) (a) Solver</vt:lpstr>
      <vt:lpstr>Q2 (iii)(b)</vt:lpstr>
      <vt:lpstr>Q2 (iv)</vt:lpstr>
      <vt:lpstr>Q2 Answers</vt:lpstr>
      <vt:lpstr>Q3 ProjectA Data</vt:lpstr>
      <vt:lpstr>Q3 ProjectB Data</vt:lpstr>
      <vt:lpstr>Q3 (i)</vt:lpstr>
      <vt:lpstr>Q3 (ii)</vt:lpstr>
      <vt:lpstr>Q3 (iii)</vt:lpstr>
      <vt:lpstr>Q3 Answers</vt:lpstr>
      <vt:lpstr>'Q1 (iii)'!solver_adj</vt:lpstr>
      <vt:lpstr>'Q2 (i) and (ii)'!solver_adj</vt:lpstr>
      <vt:lpstr>'Q1 (iii)'!solver_opt</vt:lpstr>
      <vt:lpstr>'Q2 (i) and (ii)'!solver_opt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Laye</dc:creator>
  <cp:lastModifiedBy>Utente</cp:lastModifiedBy>
  <dcterms:created xsi:type="dcterms:W3CDTF">2022-01-19T09:25:04Z</dcterms:created>
  <dcterms:modified xsi:type="dcterms:W3CDTF">2022-09-22T13:28:53Z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0x01010027FBD0687CCFA64A90892C425F7C4312</vt:lpwstr>
  </property>
</Properties>
</file>