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Assessment\Z. April 2021\Examiner Reports and Exam Papers\4. Complete for publication\CM1\Paper B\"/>
    </mc:Choice>
  </mc:AlternateContent>
  <bookViews>
    <workbookView xWindow="-120" yWindow="-120" windowWidth="20730" windowHeight="11160" firstSheet="10" activeTab="14"/>
  </bookViews>
  <sheets>
    <sheet name="Q1 Base" sheetId="1" r:id="rId1"/>
    <sheet name="Q1" sheetId="2" r:id="rId2"/>
    <sheet name="Q1 Answers" sheetId="3" r:id="rId3"/>
    <sheet name="Q2 Base" sheetId="4" r:id="rId4"/>
    <sheet name="Q2(i)" sheetId="5" r:id="rId5"/>
    <sheet name="Q2(ii)" sheetId="6" r:id="rId6"/>
    <sheet name="Q2(iii)" sheetId="7" r:id="rId7"/>
    <sheet name="Q2(iv)" sheetId="8" r:id="rId8"/>
    <sheet name="Q2(v)" sheetId="9" r:id="rId9"/>
    <sheet name="Q2 Answers" sheetId="10" r:id="rId10"/>
    <sheet name="Q3 Valuation Basis" sheetId="11" r:id="rId11"/>
    <sheet name="Q3 Profit Test Basis" sheetId="12" r:id="rId12"/>
    <sheet name="Q3(i)" sheetId="13" r:id="rId13"/>
    <sheet name="Q3(ii)" sheetId="14" r:id="rId14"/>
    <sheet name="Q3(iii)" sheetId="15" r:id="rId15"/>
    <sheet name="Q3 Answers" sheetId="16" r:id="rId16"/>
  </sheets>
  <definedNames>
    <definedName name="i">'Q3 Profit Test Basis'!$F$20</definedName>
    <definedName name="ival">'Q3 Valuation Basis'!$F$10</definedName>
    <definedName name="RDR">'Q3 Profit Test Basis'!$F$24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6" i="15" l="1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X10" i="15"/>
  <c r="X11" i="15" s="1"/>
  <c r="X12" i="15" s="1"/>
  <c r="X13" i="15" s="1"/>
  <c r="X14" i="15" s="1"/>
  <c r="X15" i="15" s="1"/>
  <c r="X16" i="15" s="1"/>
  <c r="X17" i="15" s="1"/>
  <c r="X18" i="15" s="1"/>
  <c r="X19" i="15" s="1"/>
  <c r="X20" i="15" s="1"/>
  <c r="X21" i="15" s="1"/>
  <c r="X22" i="15" s="1"/>
  <c r="X23" i="15" s="1"/>
  <c r="X24" i="15" s="1"/>
  <c r="X25" i="15" s="1"/>
  <c r="X26" i="15" s="1"/>
  <c r="X27" i="15" s="1"/>
  <c r="X28" i="15" s="1"/>
  <c r="X29" i="15" s="1"/>
  <c r="V10" i="15"/>
  <c r="C10" i="15"/>
  <c r="Z10" i="15" s="1"/>
  <c r="X4" i="15"/>
  <c r="N4" i="15"/>
  <c r="H4" i="15"/>
  <c r="G4" i="15"/>
  <c r="G27" i="15" s="1"/>
  <c r="F4" i="15"/>
  <c r="E4" i="15"/>
  <c r="E28" i="15" s="1"/>
  <c r="D4" i="15"/>
  <c r="D10" i="15" s="1"/>
  <c r="F28" i="14"/>
  <c r="H28" i="14" s="1"/>
  <c r="C28" i="14"/>
  <c r="E28" i="14" s="1"/>
  <c r="G28" i="14" s="1"/>
  <c r="F27" i="14"/>
  <c r="H27" i="14" s="1"/>
  <c r="C27" i="14"/>
  <c r="E27" i="14" s="1"/>
  <c r="G27" i="14" s="1"/>
  <c r="F26" i="14"/>
  <c r="H26" i="14" s="1"/>
  <c r="C26" i="14"/>
  <c r="E26" i="14" s="1"/>
  <c r="G26" i="14" s="1"/>
  <c r="F25" i="14"/>
  <c r="H25" i="14" s="1"/>
  <c r="C25" i="14"/>
  <c r="E25" i="14" s="1"/>
  <c r="G25" i="14" s="1"/>
  <c r="G24" i="14"/>
  <c r="F24" i="14"/>
  <c r="H24" i="14" s="1"/>
  <c r="C24" i="14"/>
  <c r="E24" i="14" s="1"/>
  <c r="H23" i="14"/>
  <c r="F23" i="14"/>
  <c r="C23" i="14"/>
  <c r="E23" i="14" s="1"/>
  <c r="G23" i="14" s="1"/>
  <c r="F22" i="14"/>
  <c r="H22" i="14" s="1"/>
  <c r="C22" i="14"/>
  <c r="E22" i="14" s="1"/>
  <c r="G22" i="14" s="1"/>
  <c r="F21" i="14"/>
  <c r="H21" i="14" s="1"/>
  <c r="E21" i="14"/>
  <c r="G21" i="14" s="1"/>
  <c r="I21" i="14" s="1"/>
  <c r="C21" i="14"/>
  <c r="F20" i="14"/>
  <c r="H20" i="14" s="1"/>
  <c r="E20" i="14"/>
  <c r="G20" i="14" s="1"/>
  <c r="C20" i="14"/>
  <c r="H19" i="14"/>
  <c r="F19" i="14"/>
  <c r="C19" i="14"/>
  <c r="E19" i="14" s="1"/>
  <c r="G19" i="14" s="1"/>
  <c r="F18" i="14"/>
  <c r="H18" i="14" s="1"/>
  <c r="C18" i="14"/>
  <c r="E18" i="14" s="1"/>
  <c r="G18" i="14" s="1"/>
  <c r="F17" i="14"/>
  <c r="H17" i="14" s="1"/>
  <c r="E17" i="14"/>
  <c r="G17" i="14" s="1"/>
  <c r="C17" i="14"/>
  <c r="F16" i="14"/>
  <c r="H16" i="14" s="1"/>
  <c r="C16" i="14"/>
  <c r="E16" i="14" s="1"/>
  <c r="G16" i="14" s="1"/>
  <c r="F15" i="14"/>
  <c r="H15" i="14" s="1"/>
  <c r="C15" i="14"/>
  <c r="E15" i="14" s="1"/>
  <c r="G15" i="14" s="1"/>
  <c r="F14" i="14"/>
  <c r="H14" i="14" s="1"/>
  <c r="C14" i="14"/>
  <c r="E14" i="14" s="1"/>
  <c r="G14" i="14" s="1"/>
  <c r="F13" i="14"/>
  <c r="H13" i="14" s="1"/>
  <c r="E13" i="14"/>
  <c r="G13" i="14" s="1"/>
  <c r="I13" i="14" s="1"/>
  <c r="C13" i="14"/>
  <c r="F12" i="14"/>
  <c r="H12" i="14" s="1"/>
  <c r="C12" i="14"/>
  <c r="E12" i="14" s="1"/>
  <c r="G12" i="14" s="1"/>
  <c r="F11" i="14"/>
  <c r="H11" i="14" s="1"/>
  <c r="C11" i="14"/>
  <c r="E11" i="14" s="1"/>
  <c r="G11" i="14" s="1"/>
  <c r="F10" i="14"/>
  <c r="H10" i="14" s="1"/>
  <c r="C10" i="14"/>
  <c r="E10" i="14" s="1"/>
  <c r="G10" i="14" s="1"/>
  <c r="I10" i="14" s="1"/>
  <c r="F9" i="14"/>
  <c r="H9" i="14" s="1"/>
  <c r="C9" i="14"/>
  <c r="E9" i="14" s="1"/>
  <c r="G9" i="14" s="1"/>
  <c r="M28" i="13"/>
  <c r="D28" i="13"/>
  <c r="E28" i="13" s="1"/>
  <c r="G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E10" i="13"/>
  <c r="D10" i="13"/>
  <c r="E9" i="13"/>
  <c r="D9" i="13"/>
  <c r="F7" i="10"/>
  <c r="J6" i="10"/>
  <c r="H6" i="10"/>
  <c r="F6" i="10"/>
  <c r="R14" i="9"/>
  <c r="O13" i="8"/>
  <c r="C10" i="8"/>
  <c r="L8" i="8"/>
  <c r="L10" i="8" s="1"/>
  <c r="K8" i="8"/>
  <c r="K10" i="8" s="1"/>
  <c r="J8" i="8"/>
  <c r="J10" i="8" s="1"/>
  <c r="I8" i="8"/>
  <c r="I10" i="8" s="1"/>
  <c r="H8" i="8"/>
  <c r="H10" i="8" s="1"/>
  <c r="G8" i="8"/>
  <c r="G10" i="8" s="1"/>
  <c r="F8" i="8"/>
  <c r="F10" i="8" s="1"/>
  <c r="E8" i="8"/>
  <c r="E10" i="8" s="1"/>
  <c r="D8" i="8"/>
  <c r="D10" i="8" s="1"/>
  <c r="L30" i="7"/>
  <c r="C30" i="7"/>
  <c r="D29" i="7"/>
  <c r="C29" i="7"/>
  <c r="C28" i="7"/>
  <c r="D27" i="7"/>
  <c r="C27" i="7"/>
  <c r="C26" i="7"/>
  <c r="L25" i="7"/>
  <c r="C25" i="7"/>
  <c r="D24" i="7"/>
  <c r="C24" i="7"/>
  <c r="C23" i="7"/>
  <c r="L22" i="7"/>
  <c r="C22" i="7"/>
  <c r="L21" i="7"/>
  <c r="L9" i="9" s="1"/>
  <c r="L10" i="9" s="1"/>
  <c r="C21" i="7"/>
  <c r="C9" i="9" s="1"/>
  <c r="L20" i="7"/>
  <c r="C20" i="7"/>
  <c r="D19" i="7"/>
  <c r="C19" i="7"/>
  <c r="R18" i="7"/>
  <c r="C18" i="7"/>
  <c r="L17" i="7"/>
  <c r="E17" i="7"/>
  <c r="D17" i="7"/>
  <c r="C17" i="7"/>
  <c r="I16" i="7"/>
  <c r="C16" i="7"/>
  <c r="I15" i="7"/>
  <c r="C15" i="7"/>
  <c r="I14" i="7"/>
  <c r="C14" i="7"/>
  <c r="L13" i="7"/>
  <c r="I13" i="7"/>
  <c r="D13" i="7"/>
  <c r="C13" i="7"/>
  <c r="C12" i="7"/>
  <c r="E11" i="7"/>
  <c r="C11" i="7"/>
  <c r="L9" i="7"/>
  <c r="L18" i="7" s="1"/>
  <c r="K9" i="7"/>
  <c r="J9" i="7"/>
  <c r="J11" i="7" s="1"/>
  <c r="I9" i="7"/>
  <c r="I30" i="7" s="1"/>
  <c r="H9" i="7"/>
  <c r="H18" i="7" s="1"/>
  <c r="G9" i="7"/>
  <c r="F9" i="7"/>
  <c r="F11" i="7" s="1"/>
  <c r="E9" i="7"/>
  <c r="E30" i="7" s="1"/>
  <c r="D9" i="7"/>
  <c r="D18" i="7" s="1"/>
  <c r="E31" i="6"/>
  <c r="C31" i="6"/>
  <c r="E30" i="6"/>
  <c r="C30" i="6"/>
  <c r="E29" i="6"/>
  <c r="C29" i="6"/>
  <c r="E28" i="6"/>
  <c r="C28" i="6"/>
  <c r="E27" i="6"/>
  <c r="C27" i="6"/>
  <c r="E26" i="6"/>
  <c r="C26" i="6"/>
  <c r="E25" i="6"/>
  <c r="C25" i="6"/>
  <c r="E24" i="6"/>
  <c r="C24" i="6"/>
  <c r="E23" i="6"/>
  <c r="C23" i="6"/>
  <c r="E22" i="6"/>
  <c r="F22" i="6" s="1"/>
  <c r="C22" i="6"/>
  <c r="E21" i="6"/>
  <c r="C21" i="6"/>
  <c r="E20" i="6"/>
  <c r="F20" i="6" s="1"/>
  <c r="C20" i="6"/>
  <c r="H19" i="6"/>
  <c r="E19" i="6"/>
  <c r="C19" i="6"/>
  <c r="E18" i="6"/>
  <c r="C18" i="6"/>
  <c r="E17" i="6"/>
  <c r="C17" i="6"/>
  <c r="E16" i="6"/>
  <c r="C16" i="6"/>
  <c r="E15" i="6"/>
  <c r="C15" i="6"/>
  <c r="E14" i="6"/>
  <c r="C14" i="6"/>
  <c r="E13" i="6"/>
  <c r="C13" i="6"/>
  <c r="D13" i="6" s="1"/>
  <c r="E12" i="6"/>
  <c r="C12" i="6"/>
  <c r="L27" i="5"/>
  <c r="N27" i="5" s="1"/>
  <c r="K27" i="5"/>
  <c r="J27" i="5"/>
  <c r="I27" i="5"/>
  <c r="H27" i="5"/>
  <c r="G27" i="5"/>
  <c r="F27" i="5"/>
  <c r="E27" i="5"/>
  <c r="D27" i="5"/>
  <c r="C27" i="5"/>
  <c r="L26" i="5"/>
  <c r="N26" i="5" s="1"/>
  <c r="K26" i="5"/>
  <c r="J26" i="5"/>
  <c r="I26" i="5"/>
  <c r="H26" i="5"/>
  <c r="G26" i="5"/>
  <c r="F26" i="5"/>
  <c r="E26" i="5"/>
  <c r="D26" i="5"/>
  <c r="C26" i="5"/>
  <c r="L25" i="5"/>
  <c r="N25" i="5" s="1"/>
  <c r="K25" i="5"/>
  <c r="J25" i="5"/>
  <c r="I25" i="5"/>
  <c r="H25" i="5"/>
  <c r="G25" i="5"/>
  <c r="F25" i="5"/>
  <c r="E25" i="5"/>
  <c r="D25" i="5"/>
  <c r="C25" i="5"/>
  <c r="L24" i="5"/>
  <c r="N24" i="5" s="1"/>
  <c r="K24" i="5"/>
  <c r="J24" i="5"/>
  <c r="I24" i="5"/>
  <c r="H24" i="5"/>
  <c r="G24" i="5"/>
  <c r="F24" i="5"/>
  <c r="E24" i="5"/>
  <c r="D24" i="5"/>
  <c r="C24" i="5"/>
  <c r="L23" i="5"/>
  <c r="N23" i="5" s="1"/>
  <c r="K23" i="5"/>
  <c r="J23" i="5"/>
  <c r="I23" i="5"/>
  <c r="H23" i="5"/>
  <c r="G23" i="5"/>
  <c r="F23" i="5"/>
  <c r="E23" i="5"/>
  <c r="D23" i="5"/>
  <c r="C23" i="5"/>
  <c r="L22" i="5"/>
  <c r="N22" i="5" s="1"/>
  <c r="K22" i="5"/>
  <c r="J22" i="5"/>
  <c r="I22" i="5"/>
  <c r="H22" i="5"/>
  <c r="G22" i="5"/>
  <c r="F22" i="5"/>
  <c r="E22" i="5"/>
  <c r="D22" i="5"/>
  <c r="C22" i="5"/>
  <c r="N21" i="5"/>
  <c r="L21" i="5"/>
  <c r="K21" i="5"/>
  <c r="J21" i="5"/>
  <c r="I21" i="5"/>
  <c r="H21" i="5"/>
  <c r="G21" i="5"/>
  <c r="F21" i="5"/>
  <c r="E21" i="5"/>
  <c r="D21" i="5"/>
  <c r="C21" i="5"/>
  <c r="L20" i="5"/>
  <c r="N20" i="5" s="1"/>
  <c r="K20" i="5"/>
  <c r="J20" i="5"/>
  <c r="I20" i="5"/>
  <c r="H20" i="5"/>
  <c r="G20" i="5"/>
  <c r="F20" i="5"/>
  <c r="E20" i="5"/>
  <c r="D20" i="5"/>
  <c r="C20" i="5"/>
  <c r="L19" i="5"/>
  <c r="N19" i="5" s="1"/>
  <c r="K19" i="5"/>
  <c r="J19" i="5"/>
  <c r="I19" i="5"/>
  <c r="H19" i="5"/>
  <c r="G19" i="5"/>
  <c r="F19" i="5"/>
  <c r="E19" i="5"/>
  <c r="D19" i="5"/>
  <c r="C19" i="5"/>
  <c r="L18" i="5"/>
  <c r="N18" i="5" s="1"/>
  <c r="K18" i="5"/>
  <c r="J18" i="5"/>
  <c r="I18" i="5"/>
  <c r="H18" i="5"/>
  <c r="G18" i="5"/>
  <c r="F18" i="5"/>
  <c r="E18" i="5"/>
  <c r="D18" i="5"/>
  <c r="C18" i="5"/>
  <c r="L17" i="5"/>
  <c r="N17" i="5" s="1"/>
  <c r="K17" i="5"/>
  <c r="J17" i="5"/>
  <c r="I17" i="5"/>
  <c r="H17" i="5"/>
  <c r="G17" i="5"/>
  <c r="F17" i="5"/>
  <c r="E17" i="5"/>
  <c r="D17" i="5"/>
  <c r="C17" i="5"/>
  <c r="R16" i="5"/>
  <c r="L16" i="5"/>
  <c r="N16" i="5" s="1"/>
  <c r="K16" i="5"/>
  <c r="J16" i="5"/>
  <c r="I16" i="5"/>
  <c r="H16" i="5"/>
  <c r="G16" i="5"/>
  <c r="F16" i="5"/>
  <c r="E16" i="5"/>
  <c r="D16" i="5"/>
  <c r="C16" i="5"/>
  <c r="L15" i="5"/>
  <c r="N15" i="5" s="1"/>
  <c r="K15" i="5"/>
  <c r="J15" i="5"/>
  <c r="I15" i="5"/>
  <c r="H15" i="5"/>
  <c r="G15" i="5"/>
  <c r="F15" i="5"/>
  <c r="E15" i="5"/>
  <c r="D15" i="5"/>
  <c r="C15" i="5"/>
  <c r="L14" i="5"/>
  <c r="N14" i="5" s="1"/>
  <c r="K14" i="5"/>
  <c r="J14" i="5"/>
  <c r="I14" i="5"/>
  <c r="H14" i="5"/>
  <c r="G14" i="5"/>
  <c r="F14" i="5"/>
  <c r="E14" i="5"/>
  <c r="D14" i="5"/>
  <c r="C14" i="5"/>
  <c r="L13" i="5"/>
  <c r="N13" i="5" s="1"/>
  <c r="K13" i="5"/>
  <c r="J13" i="5"/>
  <c r="I13" i="5"/>
  <c r="H13" i="5"/>
  <c r="G13" i="5"/>
  <c r="F13" i="5"/>
  <c r="E13" i="5"/>
  <c r="D13" i="5"/>
  <c r="C13" i="5"/>
  <c r="L12" i="5"/>
  <c r="N12" i="5" s="1"/>
  <c r="K12" i="5"/>
  <c r="J12" i="5"/>
  <c r="I12" i="5"/>
  <c r="H12" i="5"/>
  <c r="G12" i="5"/>
  <c r="F12" i="5"/>
  <c r="E12" i="5"/>
  <c r="D12" i="5"/>
  <c r="C12" i="5"/>
  <c r="L11" i="5"/>
  <c r="N11" i="5" s="1"/>
  <c r="K11" i="5"/>
  <c r="J11" i="5"/>
  <c r="I11" i="5"/>
  <c r="H11" i="5"/>
  <c r="G11" i="5"/>
  <c r="F11" i="5"/>
  <c r="E11" i="5"/>
  <c r="D11" i="5"/>
  <c r="C11" i="5"/>
  <c r="L10" i="5"/>
  <c r="N10" i="5" s="1"/>
  <c r="K10" i="5"/>
  <c r="J10" i="5"/>
  <c r="I10" i="5"/>
  <c r="H10" i="5"/>
  <c r="G10" i="5"/>
  <c r="F10" i="5"/>
  <c r="E10" i="5"/>
  <c r="D10" i="5"/>
  <c r="C10" i="5"/>
  <c r="L9" i="5"/>
  <c r="N9" i="5" s="1"/>
  <c r="K9" i="5"/>
  <c r="J9" i="5"/>
  <c r="I9" i="5"/>
  <c r="H9" i="5"/>
  <c r="G9" i="5"/>
  <c r="F9" i="5"/>
  <c r="E9" i="5"/>
  <c r="D9" i="5"/>
  <c r="C9" i="5"/>
  <c r="L8" i="5"/>
  <c r="N8" i="5" s="1"/>
  <c r="K8" i="5"/>
  <c r="J8" i="5"/>
  <c r="I8" i="5"/>
  <c r="H8" i="5"/>
  <c r="G8" i="5"/>
  <c r="F8" i="5"/>
  <c r="E8" i="5"/>
  <c r="D8" i="5"/>
  <c r="C8" i="5"/>
  <c r="P24" i="2"/>
  <c r="L11" i="2"/>
  <c r="G11" i="2"/>
  <c r="G12" i="2" s="1"/>
  <c r="F11" i="2"/>
  <c r="D28" i="7" l="1"/>
  <c r="P18" i="5"/>
  <c r="C18" i="10" s="1"/>
  <c r="D11" i="7"/>
  <c r="D25" i="7"/>
  <c r="L28" i="7"/>
  <c r="P19" i="5"/>
  <c r="C19" i="10" s="1"/>
  <c r="P26" i="5"/>
  <c r="C26" i="10" s="1"/>
  <c r="P23" i="5"/>
  <c r="C23" i="10" s="1"/>
  <c r="P20" i="5"/>
  <c r="C20" i="10" s="1"/>
  <c r="P24" i="5"/>
  <c r="C24" i="10" s="1"/>
  <c r="H13" i="7"/>
  <c r="L12" i="2"/>
  <c r="P22" i="5"/>
  <c r="C22" i="10" s="1"/>
  <c r="I25" i="14"/>
  <c r="I26" i="15" s="1"/>
  <c r="H15" i="7"/>
  <c r="H17" i="7"/>
  <c r="D20" i="7"/>
  <c r="D23" i="7"/>
  <c r="L26" i="7"/>
  <c r="L29" i="7"/>
  <c r="E16" i="7"/>
  <c r="E18" i="7"/>
  <c r="D21" i="7"/>
  <c r="D9" i="9" s="1"/>
  <c r="D10" i="9" s="1"/>
  <c r="L24" i="7"/>
  <c r="I18" i="14"/>
  <c r="P8" i="5"/>
  <c r="C8" i="10" s="1"/>
  <c r="P10" i="5"/>
  <c r="C10" i="10" s="1"/>
  <c r="P12" i="5"/>
  <c r="C12" i="10" s="1"/>
  <c r="P14" i="5"/>
  <c r="C14" i="10" s="1"/>
  <c r="P16" i="5"/>
  <c r="C16" i="10" s="1"/>
  <c r="P17" i="5"/>
  <c r="C17" i="10" s="1"/>
  <c r="P25" i="5"/>
  <c r="C25" i="10" s="1"/>
  <c r="D15" i="6"/>
  <c r="D19" i="6"/>
  <c r="F24" i="6"/>
  <c r="F26" i="6"/>
  <c r="F13" i="6"/>
  <c r="F17" i="6"/>
  <c r="P11" i="5"/>
  <c r="C11" i="10" s="1"/>
  <c r="D14" i="6"/>
  <c r="D16" i="6"/>
  <c r="F21" i="6"/>
  <c r="F25" i="6"/>
  <c r="E15" i="15"/>
  <c r="P21" i="5"/>
  <c r="C21" i="10" s="1"/>
  <c r="D17" i="6"/>
  <c r="F28" i="6"/>
  <c r="P27" i="5"/>
  <c r="C27" i="10" s="1"/>
  <c r="F15" i="6"/>
  <c r="P9" i="5"/>
  <c r="C9" i="10" s="1"/>
  <c r="P13" i="5"/>
  <c r="C13" i="10" s="1"/>
  <c r="P15" i="5"/>
  <c r="C15" i="10" s="1"/>
  <c r="D12" i="6"/>
  <c r="D18" i="6"/>
  <c r="J11" i="2"/>
  <c r="F19" i="6"/>
  <c r="F14" i="6"/>
  <c r="F16" i="6"/>
  <c r="F18" i="6"/>
  <c r="H11" i="7"/>
  <c r="E12" i="7"/>
  <c r="E13" i="7"/>
  <c r="D15" i="7"/>
  <c r="L15" i="7"/>
  <c r="I17" i="7"/>
  <c r="I18" i="7"/>
  <c r="L19" i="7"/>
  <c r="D22" i="7"/>
  <c r="L23" i="7"/>
  <c r="D26" i="7"/>
  <c r="L27" i="7"/>
  <c r="D30" i="7"/>
  <c r="F10" i="15"/>
  <c r="F30" i="6"/>
  <c r="I11" i="7"/>
  <c r="I12" i="7"/>
  <c r="E14" i="7"/>
  <c r="E15" i="7"/>
  <c r="E11" i="15"/>
  <c r="G14" i="15"/>
  <c r="I24" i="14"/>
  <c r="K24" i="14" s="1"/>
  <c r="G13" i="2"/>
  <c r="L13" i="2"/>
  <c r="J12" i="2"/>
  <c r="F12" i="2"/>
  <c r="M11" i="2"/>
  <c r="I11" i="2"/>
  <c r="K11" i="2" s="1"/>
  <c r="H11" i="2"/>
  <c r="D21" i="6"/>
  <c r="F23" i="6"/>
  <c r="D25" i="6"/>
  <c r="F27" i="6"/>
  <c r="D29" i="6"/>
  <c r="F31" i="6"/>
  <c r="G18" i="7"/>
  <c r="G17" i="7"/>
  <c r="G16" i="7"/>
  <c r="G15" i="7"/>
  <c r="G14" i="7"/>
  <c r="G13" i="7"/>
  <c r="G12" i="7"/>
  <c r="G11" i="7"/>
  <c r="G30" i="7"/>
  <c r="G29" i="7"/>
  <c r="G28" i="7"/>
  <c r="G27" i="7"/>
  <c r="G26" i="7"/>
  <c r="G25" i="7"/>
  <c r="G24" i="7"/>
  <c r="O24" i="7" s="1"/>
  <c r="G23" i="7"/>
  <c r="G22" i="7"/>
  <c r="G21" i="7"/>
  <c r="G9" i="9" s="1"/>
  <c r="G10" i="9" s="1"/>
  <c r="G20" i="7"/>
  <c r="G19" i="7"/>
  <c r="K18" i="7"/>
  <c r="K17" i="7"/>
  <c r="K16" i="7"/>
  <c r="K15" i="7"/>
  <c r="K14" i="7"/>
  <c r="K13" i="7"/>
  <c r="K12" i="7"/>
  <c r="K11" i="7"/>
  <c r="K30" i="7"/>
  <c r="K29" i="7"/>
  <c r="K28" i="7"/>
  <c r="K27" i="7"/>
  <c r="K26" i="7"/>
  <c r="K25" i="7"/>
  <c r="K24" i="7"/>
  <c r="K23" i="7"/>
  <c r="K22" i="7"/>
  <c r="K21" i="7"/>
  <c r="K9" i="9" s="1"/>
  <c r="K10" i="9" s="1"/>
  <c r="K20" i="7"/>
  <c r="K19" i="7"/>
  <c r="M10" i="8"/>
  <c r="I11" i="15"/>
  <c r="I14" i="14"/>
  <c r="J14" i="14" s="1"/>
  <c r="I19" i="14"/>
  <c r="J19" i="14" s="1"/>
  <c r="D20" i="6"/>
  <c r="D24" i="6"/>
  <c r="D28" i="6"/>
  <c r="L11" i="7"/>
  <c r="D12" i="7"/>
  <c r="L12" i="7"/>
  <c r="H14" i="7"/>
  <c r="D16" i="7"/>
  <c r="L16" i="7"/>
  <c r="H19" i="7"/>
  <c r="H20" i="7"/>
  <c r="H21" i="7"/>
  <c r="H9" i="9" s="1"/>
  <c r="H10" i="9" s="1"/>
  <c r="H22" i="7"/>
  <c r="H23" i="7"/>
  <c r="H24" i="7"/>
  <c r="H25" i="7"/>
  <c r="H26" i="7"/>
  <c r="H27" i="7"/>
  <c r="H28" i="7"/>
  <c r="H29" i="7"/>
  <c r="H30" i="7"/>
  <c r="I19" i="15"/>
  <c r="D23" i="6"/>
  <c r="D27" i="6"/>
  <c r="F29" i="6"/>
  <c r="D31" i="6"/>
  <c r="I14" i="15"/>
  <c r="J13" i="14"/>
  <c r="M13" i="14" s="1"/>
  <c r="K19" i="14"/>
  <c r="I23" i="14"/>
  <c r="J23" i="14" s="1"/>
  <c r="F12" i="6"/>
  <c r="D22" i="6"/>
  <c r="D26" i="6"/>
  <c r="D30" i="6"/>
  <c r="F30" i="7"/>
  <c r="F29" i="7"/>
  <c r="F28" i="7"/>
  <c r="F27" i="7"/>
  <c r="F26" i="7"/>
  <c r="F25" i="7"/>
  <c r="F24" i="7"/>
  <c r="F23" i="7"/>
  <c r="F22" i="7"/>
  <c r="F21" i="7"/>
  <c r="F9" i="9" s="1"/>
  <c r="F10" i="9" s="1"/>
  <c r="F20" i="7"/>
  <c r="F19" i="7"/>
  <c r="F18" i="7"/>
  <c r="F17" i="7"/>
  <c r="F16" i="7"/>
  <c r="F15" i="7"/>
  <c r="F14" i="7"/>
  <c r="F13" i="7"/>
  <c r="F12" i="7"/>
  <c r="J30" i="7"/>
  <c r="J29" i="7"/>
  <c r="J28" i="7"/>
  <c r="J27" i="7"/>
  <c r="J26" i="7"/>
  <c r="J25" i="7"/>
  <c r="J24" i="7"/>
  <c r="J23" i="7"/>
  <c r="J22" i="7"/>
  <c r="J21" i="7"/>
  <c r="J9" i="9" s="1"/>
  <c r="J10" i="9" s="1"/>
  <c r="J20" i="7"/>
  <c r="J19" i="7"/>
  <c r="J18" i="7"/>
  <c r="J17" i="7"/>
  <c r="J16" i="7"/>
  <c r="J15" i="7"/>
  <c r="J14" i="7"/>
  <c r="J13" i="7"/>
  <c r="J12" i="7"/>
  <c r="H12" i="7"/>
  <c r="D14" i="7"/>
  <c r="L14" i="7"/>
  <c r="H16" i="7"/>
  <c r="C10" i="9"/>
  <c r="I11" i="14"/>
  <c r="I16" i="14"/>
  <c r="J16" i="14" s="1"/>
  <c r="I22" i="14"/>
  <c r="J22" i="14" s="1"/>
  <c r="I26" i="14"/>
  <c r="K26" i="14" s="1"/>
  <c r="H28" i="13"/>
  <c r="K21" i="14"/>
  <c r="G27" i="13"/>
  <c r="G26" i="13" s="1"/>
  <c r="G25" i="13" s="1"/>
  <c r="G24" i="13" s="1"/>
  <c r="G23" i="13" s="1"/>
  <c r="G22" i="13" s="1"/>
  <c r="G21" i="13" s="1"/>
  <c r="G20" i="13" s="1"/>
  <c r="G19" i="13" s="1"/>
  <c r="G18" i="13" s="1"/>
  <c r="G17" i="13" s="1"/>
  <c r="G16" i="13" s="1"/>
  <c r="G15" i="13" s="1"/>
  <c r="G14" i="13" s="1"/>
  <c r="G13" i="13" s="1"/>
  <c r="G12" i="13" s="1"/>
  <c r="G11" i="13" s="1"/>
  <c r="G10" i="13" s="1"/>
  <c r="G9" i="13" s="1"/>
  <c r="F27" i="13"/>
  <c r="J10" i="14"/>
  <c r="J18" i="14"/>
  <c r="M18" i="14" s="1"/>
  <c r="I22" i="15"/>
  <c r="I25" i="15"/>
  <c r="I28" i="14"/>
  <c r="K28" i="14" s="1"/>
  <c r="E19" i="7"/>
  <c r="I19" i="7"/>
  <c r="E20" i="7"/>
  <c r="I20" i="7"/>
  <c r="E21" i="7"/>
  <c r="E9" i="9" s="1"/>
  <c r="E10" i="9" s="1"/>
  <c r="I21" i="7"/>
  <c r="I9" i="9" s="1"/>
  <c r="I10" i="9" s="1"/>
  <c r="E22" i="7"/>
  <c r="I22" i="7"/>
  <c r="E23" i="7"/>
  <c r="I23" i="7"/>
  <c r="E24" i="7"/>
  <c r="I24" i="7"/>
  <c r="E25" i="7"/>
  <c r="I25" i="7"/>
  <c r="E26" i="7"/>
  <c r="I26" i="7"/>
  <c r="E27" i="7"/>
  <c r="I27" i="7"/>
  <c r="E28" i="7"/>
  <c r="I28" i="7"/>
  <c r="E29" i="7"/>
  <c r="I29" i="7"/>
  <c r="I9" i="14"/>
  <c r="K9" i="14" s="1"/>
  <c r="I12" i="14"/>
  <c r="K12" i="14" s="1"/>
  <c r="I15" i="14"/>
  <c r="J15" i="14" s="1"/>
  <c r="I17" i="14"/>
  <c r="K17" i="14" s="1"/>
  <c r="J21" i="14"/>
  <c r="J24" i="14"/>
  <c r="I27" i="14"/>
  <c r="J27" i="14" s="1"/>
  <c r="J9" i="14"/>
  <c r="K10" i="14"/>
  <c r="K13" i="14"/>
  <c r="K18" i="14"/>
  <c r="I20" i="14"/>
  <c r="E26" i="15"/>
  <c r="E22" i="15"/>
  <c r="E18" i="15"/>
  <c r="E29" i="15"/>
  <c r="N29" i="15"/>
  <c r="G11" i="15"/>
  <c r="E12" i="15"/>
  <c r="G15" i="15"/>
  <c r="E16" i="15"/>
  <c r="E17" i="15"/>
  <c r="G18" i="15"/>
  <c r="E19" i="15"/>
  <c r="E20" i="15"/>
  <c r="E21" i="15"/>
  <c r="G22" i="15"/>
  <c r="E23" i="15"/>
  <c r="E24" i="15"/>
  <c r="E25" i="15"/>
  <c r="G26" i="15"/>
  <c r="E27" i="15"/>
  <c r="H27" i="15" s="1"/>
  <c r="H10" i="15"/>
  <c r="G12" i="15"/>
  <c r="E13" i="15"/>
  <c r="G16" i="15"/>
  <c r="G19" i="15"/>
  <c r="G20" i="15"/>
  <c r="G23" i="15"/>
  <c r="G24" i="15"/>
  <c r="H24" i="15" s="1"/>
  <c r="G29" i="15"/>
  <c r="G25" i="15"/>
  <c r="G21" i="15"/>
  <c r="G17" i="15"/>
  <c r="G28" i="15"/>
  <c r="G13" i="15"/>
  <c r="E14" i="15"/>
  <c r="H14" i="15" s="1"/>
  <c r="H28" i="15"/>
  <c r="K27" i="14" l="1"/>
  <c r="H22" i="15"/>
  <c r="J25" i="14"/>
  <c r="H11" i="15"/>
  <c r="O25" i="7"/>
  <c r="H15" i="15"/>
  <c r="K25" i="14"/>
  <c r="O29" i="7"/>
  <c r="O15" i="7"/>
  <c r="H20" i="15"/>
  <c r="J17" i="14"/>
  <c r="O28" i="7"/>
  <c r="H18" i="15"/>
  <c r="O27" i="7"/>
  <c r="O23" i="7"/>
  <c r="O19" i="7"/>
  <c r="G22" i="16"/>
  <c r="K25" i="15"/>
  <c r="P25" i="15" s="1"/>
  <c r="H26" i="15"/>
  <c r="K14" i="14"/>
  <c r="G12" i="16" s="1"/>
  <c r="O11" i="7"/>
  <c r="P24" i="7" s="1"/>
  <c r="H25" i="15"/>
  <c r="H21" i="15"/>
  <c r="H17" i="15"/>
  <c r="H12" i="15"/>
  <c r="O26" i="7"/>
  <c r="O22" i="7"/>
  <c r="O20" i="7"/>
  <c r="O17" i="7"/>
  <c r="O13" i="7"/>
  <c r="H16" i="15"/>
  <c r="O18" i="7"/>
  <c r="O30" i="7"/>
  <c r="F25" i="16"/>
  <c r="J28" i="15"/>
  <c r="G15" i="16"/>
  <c r="K18" i="15"/>
  <c r="P18" i="15" s="1"/>
  <c r="F21" i="16"/>
  <c r="J24" i="15"/>
  <c r="F13" i="16"/>
  <c r="J16" i="15"/>
  <c r="F20" i="16"/>
  <c r="J23" i="15"/>
  <c r="G10" i="16"/>
  <c r="K13" i="15"/>
  <c r="P13" i="15" s="1"/>
  <c r="F14" i="16"/>
  <c r="J17" i="15"/>
  <c r="G11" i="16"/>
  <c r="K14" i="15"/>
  <c r="P14" i="15" s="1"/>
  <c r="F22" i="16"/>
  <c r="J25" i="15"/>
  <c r="M24" i="14"/>
  <c r="G7" i="16"/>
  <c r="K10" i="15"/>
  <c r="P10" i="15" s="1"/>
  <c r="G19" i="16"/>
  <c r="K22" i="15"/>
  <c r="P22" i="15" s="1"/>
  <c r="N10" i="9"/>
  <c r="H13" i="15"/>
  <c r="I21" i="15"/>
  <c r="K20" i="14"/>
  <c r="J12" i="14"/>
  <c r="M12" i="14" s="1"/>
  <c r="K22" i="14"/>
  <c r="M27" i="13"/>
  <c r="F26" i="13"/>
  <c r="I28" i="13"/>
  <c r="H27" i="13"/>
  <c r="O14" i="7"/>
  <c r="F11" i="16"/>
  <c r="J14" i="15"/>
  <c r="I15" i="15"/>
  <c r="M14" i="14"/>
  <c r="K28" i="15"/>
  <c r="P28" i="15" s="1"/>
  <c r="G25" i="16"/>
  <c r="G26" i="16"/>
  <c r="K29" i="15"/>
  <c r="P29" i="15" s="1"/>
  <c r="I16" i="15"/>
  <c r="M15" i="14"/>
  <c r="F16" i="16"/>
  <c r="J19" i="15"/>
  <c r="I23" i="15"/>
  <c r="M22" i="14"/>
  <c r="H19" i="15"/>
  <c r="G16" i="16"/>
  <c r="K19" i="15"/>
  <c r="P19" i="15" s="1"/>
  <c r="G8" i="16"/>
  <c r="K11" i="15"/>
  <c r="P11" i="15" s="1"/>
  <c r="M27" i="14"/>
  <c r="I28" i="15"/>
  <c r="J22" i="15"/>
  <c r="F19" i="16"/>
  <c r="I13" i="15"/>
  <c r="I29" i="15"/>
  <c r="M21" i="14"/>
  <c r="K15" i="15"/>
  <c r="P15" i="15" s="1"/>
  <c r="G24" i="16"/>
  <c r="K27" i="15"/>
  <c r="P27" i="15" s="1"/>
  <c r="I27" i="15"/>
  <c r="I12" i="15"/>
  <c r="J20" i="14"/>
  <c r="O12" i="7"/>
  <c r="F12" i="16"/>
  <c r="J15" i="15"/>
  <c r="I17" i="15"/>
  <c r="M16" i="14"/>
  <c r="I24" i="15"/>
  <c r="M23" i="14"/>
  <c r="K15" i="14"/>
  <c r="F17" i="16"/>
  <c r="J20" i="15"/>
  <c r="H23" i="15"/>
  <c r="H29" i="15"/>
  <c r="J18" i="15"/>
  <c r="F15" i="16"/>
  <c r="F7" i="16"/>
  <c r="J10" i="15"/>
  <c r="G23" i="16"/>
  <c r="K26" i="15"/>
  <c r="P26" i="15" s="1"/>
  <c r="I18" i="15"/>
  <c r="M17" i="14"/>
  <c r="I10" i="15"/>
  <c r="V11" i="15" s="1"/>
  <c r="M9" i="14"/>
  <c r="O21" i="7"/>
  <c r="J28" i="14"/>
  <c r="F8" i="16"/>
  <c r="J11" i="15"/>
  <c r="J26" i="15"/>
  <c r="F23" i="16"/>
  <c r="J26" i="14"/>
  <c r="M26" i="14" s="1"/>
  <c r="K16" i="14"/>
  <c r="J11" i="14"/>
  <c r="M11" i="14" s="1"/>
  <c r="N9" i="9"/>
  <c r="K23" i="14"/>
  <c r="G17" i="16"/>
  <c r="K20" i="15"/>
  <c r="P20" i="15" s="1"/>
  <c r="M25" i="14"/>
  <c r="K11" i="14"/>
  <c r="O16" i="7"/>
  <c r="I20" i="15"/>
  <c r="M19" i="14"/>
  <c r="M10" i="14"/>
  <c r="F13" i="2"/>
  <c r="M12" i="2"/>
  <c r="I12" i="2"/>
  <c r="K12" i="2" s="1"/>
  <c r="H12" i="2"/>
  <c r="G14" i="2"/>
  <c r="J13" i="2"/>
  <c r="L14" i="2"/>
  <c r="P30" i="7" l="1"/>
  <c r="P19" i="7"/>
  <c r="P23" i="7"/>
  <c r="P11" i="7"/>
  <c r="P18" i="7"/>
  <c r="P21" i="7"/>
  <c r="G9" i="16"/>
  <c r="K12" i="15"/>
  <c r="P12" i="15" s="1"/>
  <c r="L14" i="15"/>
  <c r="N14" i="15"/>
  <c r="G20" i="16"/>
  <c r="K23" i="15"/>
  <c r="P23" i="15" s="1"/>
  <c r="L25" i="15"/>
  <c r="N25" i="15"/>
  <c r="L17" i="15"/>
  <c r="N17" i="15"/>
  <c r="L24" i="15"/>
  <c r="N24" i="15"/>
  <c r="L28" i="15"/>
  <c r="N28" i="15"/>
  <c r="F26" i="16"/>
  <c r="J29" i="15"/>
  <c r="L29" i="15" s="1"/>
  <c r="N10" i="15"/>
  <c r="L10" i="15"/>
  <c r="G13" i="16"/>
  <c r="K16" i="15"/>
  <c r="P16" i="15" s="1"/>
  <c r="M28" i="14"/>
  <c r="M26" i="13"/>
  <c r="F25" i="13"/>
  <c r="F10" i="16"/>
  <c r="J13" i="15"/>
  <c r="P25" i="7"/>
  <c r="H4" i="8"/>
  <c r="P27" i="7"/>
  <c r="G21" i="16"/>
  <c r="K24" i="15"/>
  <c r="P24" i="15" s="1"/>
  <c r="V12" i="15"/>
  <c r="Z11" i="15"/>
  <c r="F9" i="16"/>
  <c r="J12" i="15"/>
  <c r="L26" i="15"/>
  <c r="N26" i="15"/>
  <c r="P12" i="7"/>
  <c r="R29" i="15"/>
  <c r="M29" i="15"/>
  <c r="L22" i="15"/>
  <c r="N22" i="15"/>
  <c r="P15" i="7"/>
  <c r="L19" i="15"/>
  <c r="N19" i="15"/>
  <c r="P14" i="7"/>
  <c r="G18" i="16"/>
  <c r="K21" i="15"/>
  <c r="P21" i="15" s="1"/>
  <c r="N13" i="9"/>
  <c r="C5" i="9" s="1"/>
  <c r="L6" i="10" s="1"/>
  <c r="P29" i="7"/>
  <c r="L23" i="15"/>
  <c r="N23" i="15"/>
  <c r="L16" i="15"/>
  <c r="N16" i="15"/>
  <c r="P20" i="7"/>
  <c r="P17" i="7"/>
  <c r="F24" i="16"/>
  <c r="J27" i="15"/>
  <c r="L18" i="15"/>
  <c r="N18" i="15"/>
  <c r="L15" i="15"/>
  <c r="N15" i="15"/>
  <c r="G15" i="2"/>
  <c r="L15" i="2"/>
  <c r="J14" i="2"/>
  <c r="F14" i="2"/>
  <c r="M13" i="2"/>
  <c r="I13" i="2"/>
  <c r="K13" i="2" s="1"/>
  <c r="H13" i="2"/>
  <c r="P16" i="7"/>
  <c r="G14" i="16"/>
  <c r="K17" i="15"/>
  <c r="P17" i="15" s="1"/>
  <c r="L11" i="15"/>
  <c r="N11" i="15"/>
  <c r="L20" i="15"/>
  <c r="N20" i="15"/>
  <c r="F18" i="16"/>
  <c r="J21" i="15"/>
  <c r="P28" i="7"/>
  <c r="H26" i="13"/>
  <c r="I27" i="13"/>
  <c r="M20" i="14"/>
  <c r="P13" i="7"/>
  <c r="P26" i="7"/>
  <c r="P22" i="7"/>
  <c r="G16" i="2" l="1"/>
  <c r="J15" i="2"/>
  <c r="L16" i="2"/>
  <c r="V13" i="15"/>
  <c r="Z12" i="15"/>
  <c r="M25" i="13"/>
  <c r="F24" i="13"/>
  <c r="L21" i="15"/>
  <c r="N21" i="15"/>
  <c r="M14" i="2"/>
  <c r="I14" i="2"/>
  <c r="K14" i="2" s="1"/>
  <c r="F15" i="2"/>
  <c r="H14" i="2"/>
  <c r="L12" i="15"/>
  <c r="N12" i="15"/>
  <c r="L27" i="15"/>
  <c r="N27" i="15"/>
  <c r="L13" i="15"/>
  <c r="N13" i="15"/>
  <c r="I26" i="13"/>
  <c r="H25" i="13"/>
  <c r="M15" i="2" l="1"/>
  <c r="I15" i="2"/>
  <c r="K15" i="2" s="1"/>
  <c r="H15" i="2"/>
  <c r="F16" i="2"/>
  <c r="G17" i="2"/>
  <c r="L17" i="2"/>
  <c r="J16" i="2"/>
  <c r="H24" i="13"/>
  <c r="I25" i="13"/>
  <c r="M24" i="13"/>
  <c r="F23" i="13"/>
  <c r="V14" i="15"/>
  <c r="Z13" i="15"/>
  <c r="M23" i="13" l="1"/>
  <c r="F22" i="13"/>
  <c r="F17" i="2"/>
  <c r="M16" i="2"/>
  <c r="I16" i="2"/>
  <c r="K16" i="2" s="1"/>
  <c r="H16" i="2"/>
  <c r="I24" i="13"/>
  <c r="H23" i="13"/>
  <c r="V15" i="15"/>
  <c r="Z14" i="15"/>
  <c r="G18" i="2"/>
  <c r="L18" i="2"/>
  <c r="J17" i="2"/>
  <c r="V16" i="15" l="1"/>
  <c r="Z15" i="15"/>
  <c r="F18" i="2"/>
  <c r="M17" i="2"/>
  <c r="I17" i="2"/>
  <c r="K17" i="2" s="1"/>
  <c r="H17" i="2"/>
  <c r="M22" i="13"/>
  <c r="F21" i="13"/>
  <c r="G19" i="2"/>
  <c r="L19" i="2"/>
  <c r="J18" i="2"/>
  <c r="H22" i="13"/>
  <c r="I23" i="13"/>
  <c r="M18" i="2" l="1"/>
  <c r="I18" i="2"/>
  <c r="K18" i="2" s="1"/>
  <c r="H18" i="2"/>
  <c r="F19" i="2"/>
  <c r="G20" i="2"/>
  <c r="J19" i="2"/>
  <c r="L20" i="2"/>
  <c r="I22" i="13"/>
  <c r="H21" i="13"/>
  <c r="M21" i="13"/>
  <c r="F20" i="13"/>
  <c r="V17" i="15"/>
  <c r="Z16" i="15"/>
  <c r="V18" i="15" l="1"/>
  <c r="Z17" i="15"/>
  <c r="H20" i="13"/>
  <c r="I21" i="13"/>
  <c r="G21" i="2"/>
  <c r="L21" i="2"/>
  <c r="J20" i="2"/>
  <c r="M20" i="13"/>
  <c r="F19" i="13"/>
  <c r="M19" i="2"/>
  <c r="I19" i="2"/>
  <c r="K19" i="2" s="1"/>
  <c r="H19" i="2"/>
  <c r="F20" i="2"/>
  <c r="M19" i="13" l="1"/>
  <c r="F18" i="13"/>
  <c r="F21" i="2"/>
  <c r="M20" i="2"/>
  <c r="I20" i="2"/>
  <c r="K20" i="2" s="1"/>
  <c r="H20" i="2"/>
  <c r="I20" i="13"/>
  <c r="H19" i="13"/>
  <c r="G22" i="2"/>
  <c r="L22" i="2"/>
  <c r="J21" i="2"/>
  <c r="V19" i="15"/>
  <c r="Z18" i="15"/>
  <c r="M18" i="13" l="1"/>
  <c r="F17" i="13"/>
  <c r="V20" i="15"/>
  <c r="Z19" i="15"/>
  <c r="F22" i="2"/>
  <c r="M21" i="2"/>
  <c r="I21" i="2"/>
  <c r="K21" i="2" s="1"/>
  <c r="H21" i="2"/>
  <c r="G23" i="2"/>
  <c r="L23" i="2"/>
  <c r="J22" i="2"/>
  <c r="H18" i="13"/>
  <c r="I19" i="13"/>
  <c r="V21" i="15" l="1"/>
  <c r="Z20" i="15"/>
  <c r="G24" i="2"/>
  <c r="L24" i="2"/>
  <c r="J23" i="2"/>
  <c r="I18" i="13"/>
  <c r="H17" i="13"/>
  <c r="F23" i="2"/>
  <c r="M22" i="2"/>
  <c r="I22" i="2"/>
  <c r="K22" i="2" s="1"/>
  <c r="H22" i="2"/>
  <c r="M17" i="13"/>
  <c r="F16" i="13"/>
  <c r="M16" i="13" l="1"/>
  <c r="F15" i="13"/>
  <c r="H16" i="13"/>
  <c r="I17" i="13"/>
  <c r="G25" i="2"/>
  <c r="L25" i="2"/>
  <c r="J24" i="2"/>
  <c r="F24" i="2"/>
  <c r="M23" i="2"/>
  <c r="I23" i="2"/>
  <c r="K23" i="2" s="1"/>
  <c r="H23" i="2"/>
  <c r="V22" i="15"/>
  <c r="Z21" i="15"/>
  <c r="V23" i="15" l="1"/>
  <c r="Z22" i="15"/>
  <c r="F25" i="2"/>
  <c r="M24" i="2"/>
  <c r="I24" i="2"/>
  <c r="K24" i="2" s="1"/>
  <c r="H24" i="2"/>
  <c r="M15" i="13"/>
  <c r="F14" i="13"/>
  <c r="L26" i="2"/>
  <c r="G26" i="2"/>
  <c r="J25" i="2"/>
  <c r="I16" i="13"/>
  <c r="H15" i="13"/>
  <c r="J26" i="2" l="1"/>
  <c r="L27" i="2"/>
  <c r="G27" i="2"/>
  <c r="F26" i="2"/>
  <c r="M25" i="2"/>
  <c r="I25" i="2"/>
  <c r="K25" i="2" s="1"/>
  <c r="H25" i="2"/>
  <c r="H14" i="13"/>
  <c r="I15" i="13"/>
  <c r="M14" i="13"/>
  <c r="F13" i="13"/>
  <c r="V24" i="15"/>
  <c r="Z23" i="15"/>
  <c r="Z24" i="15" l="1"/>
  <c r="V25" i="15"/>
  <c r="J27" i="2"/>
  <c r="L28" i="2"/>
  <c r="G28" i="2"/>
  <c r="M13" i="13"/>
  <c r="F12" i="13"/>
  <c r="I14" i="13"/>
  <c r="H13" i="13"/>
  <c r="F27" i="2"/>
  <c r="I26" i="2"/>
  <c r="K26" i="2" s="1"/>
  <c r="H26" i="2"/>
  <c r="M26" i="2"/>
  <c r="H12" i="13" l="1"/>
  <c r="I13" i="13"/>
  <c r="Z25" i="15"/>
  <c r="V26" i="15"/>
  <c r="F28" i="2"/>
  <c r="M27" i="2"/>
  <c r="H27" i="2"/>
  <c r="I27" i="2"/>
  <c r="K27" i="2" s="1"/>
  <c r="M12" i="13"/>
  <c r="F11" i="13"/>
  <c r="J28" i="2"/>
  <c r="L29" i="2"/>
  <c r="G29" i="2"/>
  <c r="F29" i="2" l="1"/>
  <c r="M28" i="2"/>
  <c r="H28" i="2"/>
  <c r="I28" i="2"/>
  <c r="K28" i="2" s="1"/>
  <c r="J29" i="2"/>
  <c r="L30" i="2"/>
  <c r="G30" i="2"/>
  <c r="V27" i="15"/>
  <c r="Z26" i="15"/>
  <c r="M11" i="13"/>
  <c r="F10" i="13"/>
  <c r="I12" i="13"/>
  <c r="H11" i="13"/>
  <c r="I11" i="13" l="1"/>
  <c r="H10" i="13"/>
  <c r="M10" i="13"/>
  <c r="F9" i="13"/>
  <c r="F30" i="2"/>
  <c r="H29" i="2"/>
  <c r="M29" i="2"/>
  <c r="I29" i="2"/>
  <c r="K29" i="2" s="1"/>
  <c r="V28" i="15"/>
  <c r="Z27" i="15"/>
  <c r="J30" i="2"/>
  <c r="L31" i="2"/>
  <c r="G31" i="2"/>
  <c r="J31" i="2" l="1"/>
  <c r="L32" i="2"/>
  <c r="G32" i="2"/>
  <c r="V29" i="15"/>
  <c r="Z29" i="15" s="1"/>
  <c r="Z28" i="15"/>
  <c r="F31" i="2"/>
  <c r="I30" i="2"/>
  <c r="K30" i="2" s="1"/>
  <c r="H30" i="2"/>
  <c r="M30" i="2"/>
  <c r="Q28" i="13"/>
  <c r="Q29" i="15" s="1"/>
  <c r="Q9" i="13"/>
  <c r="Q10" i="15" s="1"/>
  <c r="M9" i="13"/>
  <c r="Q27" i="13"/>
  <c r="Q28" i="15" s="1"/>
  <c r="Q26" i="13"/>
  <c r="Q27" i="15" s="1"/>
  <c r="Q25" i="13"/>
  <c r="Q26" i="15" s="1"/>
  <c r="Q24" i="13"/>
  <c r="Q25" i="15" s="1"/>
  <c r="Q23" i="13"/>
  <c r="Q24" i="15" s="1"/>
  <c r="Q22" i="13"/>
  <c r="Q23" i="15" s="1"/>
  <c r="Q21" i="13"/>
  <c r="Q22" i="15" s="1"/>
  <c r="Q20" i="13"/>
  <c r="Q21" i="15" s="1"/>
  <c r="Q19" i="13"/>
  <c r="Q20" i="15" s="1"/>
  <c r="Q18" i="13"/>
  <c r="Q19" i="15" s="1"/>
  <c r="Q17" i="13"/>
  <c r="Q18" i="15" s="1"/>
  <c r="Q16" i="13"/>
  <c r="Q17" i="15" s="1"/>
  <c r="Q15" i="13"/>
  <c r="Q16" i="15" s="1"/>
  <c r="Q14" i="13"/>
  <c r="Q15" i="15" s="1"/>
  <c r="Q13" i="13"/>
  <c r="Q14" i="15" s="1"/>
  <c r="Q12" i="13"/>
  <c r="Q13" i="15" s="1"/>
  <c r="Q11" i="13"/>
  <c r="Q12" i="15" s="1"/>
  <c r="I10" i="13"/>
  <c r="H9" i="13"/>
  <c r="I9" i="13" s="1"/>
  <c r="Q10" i="13"/>
  <c r="Q11" i="15" s="1"/>
  <c r="AB10" i="15" l="1"/>
  <c r="S13" i="15"/>
  <c r="O13" i="15"/>
  <c r="R12" i="15"/>
  <c r="O21" i="15"/>
  <c r="S21" i="15"/>
  <c r="R20" i="15"/>
  <c r="S14" i="15"/>
  <c r="O14" i="15"/>
  <c r="R13" i="15"/>
  <c r="T13" i="15" s="1"/>
  <c r="S18" i="15"/>
  <c r="O18" i="15"/>
  <c r="R17" i="15"/>
  <c r="S22" i="15"/>
  <c r="O22" i="15"/>
  <c r="T22" i="15"/>
  <c r="U22" i="15" s="1"/>
  <c r="W22" i="15" s="1"/>
  <c r="Y22" i="15" s="1"/>
  <c r="R21" i="15"/>
  <c r="S26" i="15"/>
  <c r="O26" i="15"/>
  <c r="R25" i="15"/>
  <c r="S10" i="15"/>
  <c r="O10" i="15"/>
  <c r="J32" i="2"/>
  <c r="L33" i="2"/>
  <c r="G33" i="2"/>
  <c r="J9" i="13"/>
  <c r="O9" i="13" s="1"/>
  <c r="N9" i="13"/>
  <c r="O19" i="15"/>
  <c r="S19" i="15"/>
  <c r="R18" i="15"/>
  <c r="T18" i="15" s="1"/>
  <c r="U18" i="15" s="1"/>
  <c r="W18" i="15" s="1"/>
  <c r="Y18" i="15" s="1"/>
  <c r="S27" i="15"/>
  <c r="O27" i="15"/>
  <c r="R26" i="15"/>
  <c r="S29" i="15"/>
  <c r="T29" i="15" s="1"/>
  <c r="O29" i="15"/>
  <c r="R28" i="15"/>
  <c r="F32" i="2"/>
  <c r="M31" i="2"/>
  <c r="H31" i="2"/>
  <c r="I31" i="2"/>
  <c r="K31" i="2" s="1"/>
  <c r="O17" i="15"/>
  <c r="S17" i="15"/>
  <c r="R16" i="15"/>
  <c r="O25" i="15"/>
  <c r="S25" i="15"/>
  <c r="T25" i="15" s="1"/>
  <c r="U25" i="15" s="1"/>
  <c r="W25" i="15" s="1"/>
  <c r="Y25" i="15" s="1"/>
  <c r="R24" i="15"/>
  <c r="R14" i="15"/>
  <c r="T14" i="15" s="1"/>
  <c r="S15" i="15"/>
  <c r="O15" i="15"/>
  <c r="O23" i="15"/>
  <c r="S23" i="15"/>
  <c r="R22" i="15"/>
  <c r="R10" i="15"/>
  <c r="T10" i="15" s="1"/>
  <c r="U10" i="15" s="1"/>
  <c r="W10" i="15" s="1"/>
  <c r="Y10" i="15" s="1"/>
  <c r="S11" i="15"/>
  <c r="O11" i="15"/>
  <c r="R11" i="15"/>
  <c r="S12" i="15"/>
  <c r="O12" i="15"/>
  <c r="O16" i="15"/>
  <c r="R15" i="15"/>
  <c r="S16" i="15"/>
  <c r="R19" i="15"/>
  <c r="O20" i="15"/>
  <c r="S20" i="15"/>
  <c r="R23" i="15"/>
  <c r="T23" i="15" s="1"/>
  <c r="O24" i="15"/>
  <c r="S24" i="15"/>
  <c r="R27" i="15"/>
  <c r="S28" i="15"/>
  <c r="T28" i="15" s="1"/>
  <c r="O28" i="15"/>
  <c r="T17" i="15" l="1"/>
  <c r="U17" i="15" s="1"/>
  <c r="W17" i="15" s="1"/>
  <c r="Y17" i="15" s="1"/>
  <c r="T21" i="15"/>
  <c r="T26" i="15"/>
  <c r="U26" i="15" s="1"/>
  <c r="W26" i="15" s="1"/>
  <c r="Y26" i="15" s="1"/>
  <c r="U13" i="15"/>
  <c r="W13" i="15" s="1"/>
  <c r="Y13" i="15" s="1"/>
  <c r="U28" i="15"/>
  <c r="W28" i="15" s="1"/>
  <c r="Y28" i="15" s="1"/>
  <c r="U23" i="15"/>
  <c r="W23" i="15" s="1"/>
  <c r="Y23" i="15" s="1"/>
  <c r="T27" i="15"/>
  <c r="U27" i="15" s="1"/>
  <c r="W27" i="15" s="1"/>
  <c r="Y27" i="15" s="1"/>
  <c r="T15" i="15"/>
  <c r="U15" i="15" s="1"/>
  <c r="W15" i="15" s="1"/>
  <c r="Y15" i="15" s="1"/>
  <c r="T16" i="15"/>
  <c r="U16" i="15" s="1"/>
  <c r="W16" i="15" s="1"/>
  <c r="Y16" i="15" s="1"/>
  <c r="K9" i="13"/>
  <c r="D7" i="16" s="1"/>
  <c r="T12" i="15"/>
  <c r="U12" i="15" s="1"/>
  <c r="W12" i="15" s="1"/>
  <c r="Y12" i="15" s="1"/>
  <c r="T24" i="15"/>
  <c r="U24" i="15" s="1"/>
  <c r="W24" i="15" s="1"/>
  <c r="Y24" i="15" s="1"/>
  <c r="T11" i="15"/>
  <c r="U11" i="15" s="1"/>
  <c r="W11" i="15" s="1"/>
  <c r="Y11" i="15" s="1"/>
  <c r="T20" i="15"/>
  <c r="U20" i="15" s="1"/>
  <c r="W20" i="15" s="1"/>
  <c r="Y20" i="15" s="1"/>
  <c r="T19" i="15"/>
  <c r="U19" i="15" s="1"/>
  <c r="W19" i="15" s="1"/>
  <c r="Y19" i="15" s="1"/>
  <c r="U14" i="15"/>
  <c r="W14" i="15" s="1"/>
  <c r="Y14" i="15" s="1"/>
  <c r="U29" i="15"/>
  <c r="W29" i="15" s="1"/>
  <c r="Y29" i="15" s="1"/>
  <c r="U21" i="15"/>
  <c r="W21" i="15" s="1"/>
  <c r="Y21" i="15" s="1"/>
  <c r="F33" i="2"/>
  <c r="H32" i="2"/>
  <c r="M32" i="2"/>
  <c r="I32" i="2"/>
  <c r="K32" i="2" s="1"/>
  <c r="J33" i="2"/>
  <c r="L34" i="2"/>
  <c r="G34" i="2"/>
  <c r="O28" i="13"/>
  <c r="K28" i="13"/>
  <c r="D26" i="16" s="1"/>
  <c r="O27" i="13"/>
  <c r="K27" i="13"/>
  <c r="D25" i="16" s="1"/>
  <c r="O26" i="13"/>
  <c r="O25" i="13"/>
  <c r="K26" i="13"/>
  <c r="D24" i="16" s="1"/>
  <c r="K25" i="13"/>
  <c r="D23" i="16" s="1"/>
  <c r="O24" i="13"/>
  <c r="K24" i="13"/>
  <c r="D22" i="16" s="1"/>
  <c r="O23" i="13"/>
  <c r="K23" i="13"/>
  <c r="D21" i="16" s="1"/>
  <c r="O22" i="13"/>
  <c r="O21" i="13"/>
  <c r="K22" i="13"/>
  <c r="D20" i="16" s="1"/>
  <c r="K21" i="13"/>
  <c r="D19" i="16" s="1"/>
  <c r="O20" i="13"/>
  <c r="O19" i="13"/>
  <c r="K20" i="13"/>
  <c r="D18" i="16" s="1"/>
  <c r="K19" i="13"/>
  <c r="D17" i="16" s="1"/>
  <c r="O18" i="13"/>
  <c r="K18" i="13"/>
  <c r="D16" i="16" s="1"/>
  <c r="O17" i="13"/>
  <c r="K17" i="13"/>
  <c r="D15" i="16" s="1"/>
  <c r="O16" i="13"/>
  <c r="K16" i="13"/>
  <c r="D14" i="16" s="1"/>
  <c r="O15" i="13"/>
  <c r="K15" i="13"/>
  <c r="D13" i="16" s="1"/>
  <c r="O14" i="13"/>
  <c r="K14" i="13"/>
  <c r="D12" i="16" s="1"/>
  <c r="O13" i="13"/>
  <c r="O12" i="13"/>
  <c r="K13" i="13"/>
  <c r="D11" i="16" s="1"/>
  <c r="O11" i="13"/>
  <c r="K12" i="13"/>
  <c r="D10" i="16" s="1"/>
  <c r="O10" i="13"/>
  <c r="K11" i="13"/>
  <c r="D9" i="16" s="1"/>
  <c r="K10" i="13"/>
  <c r="D8" i="16" s="1"/>
  <c r="AA10" i="15" l="1"/>
  <c r="AC10" i="15" s="1"/>
  <c r="I6" i="16" s="1"/>
  <c r="F34" i="2"/>
  <c r="I33" i="2"/>
  <c r="K33" i="2" s="1"/>
  <c r="H33" i="2"/>
  <c r="M33" i="2"/>
  <c r="J34" i="2"/>
  <c r="L35" i="2"/>
  <c r="G35" i="2"/>
  <c r="J35" i="2" l="1"/>
  <c r="L36" i="2"/>
  <c r="G36" i="2"/>
  <c r="F35" i="2"/>
  <c r="M34" i="2"/>
  <c r="H34" i="2"/>
  <c r="I34" i="2"/>
  <c r="K34" i="2" s="1"/>
  <c r="J36" i="2" l="1"/>
  <c r="L37" i="2"/>
  <c r="G37" i="2"/>
  <c r="F36" i="2"/>
  <c r="H35" i="2"/>
  <c r="M35" i="2"/>
  <c r="I35" i="2"/>
  <c r="K35" i="2" s="1"/>
  <c r="F37" i="2" l="1"/>
  <c r="I36" i="2"/>
  <c r="K36" i="2" s="1"/>
  <c r="H36" i="2"/>
  <c r="M36" i="2"/>
  <c r="J37" i="2"/>
  <c r="L38" i="2"/>
  <c r="G38" i="2"/>
  <c r="J38" i="2" l="1"/>
  <c r="L39" i="2"/>
  <c r="G39" i="2"/>
  <c r="F38" i="2"/>
  <c r="M37" i="2"/>
  <c r="H37" i="2"/>
  <c r="I37" i="2"/>
  <c r="K37" i="2" s="1"/>
  <c r="F39" i="2" l="1"/>
  <c r="H38" i="2"/>
  <c r="M38" i="2"/>
  <c r="I38" i="2"/>
  <c r="K38" i="2" s="1"/>
  <c r="J39" i="2"/>
  <c r="L40" i="2"/>
  <c r="G40" i="2"/>
  <c r="J40" i="2" l="1"/>
  <c r="L41" i="2"/>
  <c r="G41" i="2"/>
  <c r="F40" i="2"/>
  <c r="I39" i="2"/>
  <c r="K39" i="2" s="1"/>
  <c r="H39" i="2"/>
  <c r="M39" i="2"/>
  <c r="F41" i="2" l="1"/>
  <c r="M40" i="2"/>
  <c r="H40" i="2"/>
  <c r="I40" i="2"/>
  <c r="K40" i="2" s="1"/>
  <c r="J41" i="2"/>
  <c r="L42" i="2"/>
  <c r="G42" i="2"/>
  <c r="J42" i="2" l="1"/>
  <c r="L43" i="2"/>
  <c r="G43" i="2"/>
  <c r="J43" i="2" s="1"/>
  <c r="F42" i="2"/>
  <c r="H41" i="2"/>
  <c r="M41" i="2"/>
  <c r="I41" i="2"/>
  <c r="K41" i="2" s="1"/>
  <c r="F43" i="2" l="1"/>
  <c r="I42" i="2"/>
  <c r="K42" i="2" s="1"/>
  <c r="H42" i="2"/>
  <c r="M42" i="2"/>
  <c r="M43" i="2" l="1"/>
  <c r="M45" i="2" s="1"/>
  <c r="C7" i="2" s="1"/>
  <c r="C8" i="3" s="1"/>
  <c r="H43" i="2"/>
  <c r="C5" i="2" s="1"/>
  <c r="C4" i="3" s="1"/>
  <c r="I43" i="2"/>
  <c r="K43" i="2" s="1"/>
  <c r="C6" i="2" s="1"/>
  <c r="C6" i="3" s="1"/>
</calcChain>
</file>

<file path=xl/sharedStrings.xml><?xml version="1.0" encoding="utf-8"?>
<sst xmlns="http://schemas.openxmlformats.org/spreadsheetml/2006/main" count="457" uniqueCount="239">
  <si>
    <t>Q1 Base - Mortality Tables</t>
  </si>
  <si>
    <t>Males</t>
  </si>
  <si>
    <t>Females</t>
  </si>
  <si>
    <t>Age x</t>
  </si>
  <si>
    <r>
      <t>q</t>
    </r>
    <r>
      <rPr>
        <vertAlign val="subscript"/>
        <sz val="10"/>
        <color theme="0"/>
        <rFont val="Tahoma"/>
        <family val="2"/>
      </rPr>
      <t>x</t>
    </r>
  </si>
  <si>
    <t>Age y</t>
  </si>
  <si>
    <r>
      <t>q</t>
    </r>
    <r>
      <rPr>
        <vertAlign val="subscript"/>
        <sz val="10"/>
        <color theme="0"/>
        <rFont val="Tahoma"/>
        <family val="2"/>
      </rPr>
      <t>y</t>
    </r>
  </si>
  <si>
    <t>Q1 - workings</t>
  </si>
  <si>
    <t>Answers</t>
  </si>
  <si>
    <t>(a)</t>
  </si>
  <si>
    <t>[1]</t>
  </si>
  <si>
    <t>(b)</t>
  </si>
  <si>
    <t xml:space="preserve">(c) </t>
  </si>
  <si>
    <t>[2]</t>
  </si>
  <si>
    <t>P(male alive)</t>
  </si>
  <si>
    <t>P(female alive)</t>
  </si>
  <si>
    <t>P(both alive)</t>
  </si>
  <si>
    <t>P (male dead)</t>
  </si>
  <si>
    <t>P(female dead)</t>
  </si>
  <si>
    <t>P(both dead)</t>
  </si>
  <si>
    <t xml:space="preserve">P(female dies in year </t>
  </si>
  <si>
    <t>P(female dies in year and male still alive at end of year)</t>
  </si>
  <si>
    <r>
      <t xml:space="preserve">Age </t>
    </r>
    <r>
      <rPr>
        <i/>
        <sz val="10"/>
        <color theme="0"/>
        <rFont val="Tahoma"/>
        <family val="2"/>
      </rPr>
      <t>x</t>
    </r>
  </si>
  <si>
    <t>Breakdown of Marks</t>
  </si>
  <si>
    <t>P (male alive) at x=25</t>
  </si>
  <si>
    <t>P (male alive) at x&gt;25</t>
  </si>
  <si>
    <t>P (female alive) copy of P (male alive)</t>
  </si>
  <si>
    <t>Answer to A at x=57 and y=59</t>
  </si>
  <si>
    <t>P (both alive)</t>
  </si>
  <si>
    <t>P (female dead)</t>
  </si>
  <si>
    <t>P (both dead)</t>
  </si>
  <si>
    <t>Answer to B at x=57 and y=59</t>
  </si>
  <si>
    <t>P (female dies in year) allowing for alive at t-1</t>
  </si>
  <si>
    <t>P (female dies in year) allowing for qx at t</t>
  </si>
  <si>
    <t>P (female dies in year and male still alive at end of year) allowing for P (male alive)</t>
  </si>
  <si>
    <t>Summation of P (female dies in year and male still alive at end of year)</t>
  </si>
  <si>
    <t>TOTAL</t>
  </si>
  <si>
    <t>Q1 - Answers</t>
  </si>
  <si>
    <t>Q2 Base - Effective yields from 20 banks across different terms</t>
  </si>
  <si>
    <t>Annual effective yield available on investments of different terms</t>
  </si>
  <si>
    <t>Bank</t>
  </si>
  <si>
    <t>Term of investment (years)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</si>
  <si>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</si>
  <si>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</si>
  <si>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</si>
  <si>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</si>
  <si>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</si>
  <si>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</si>
  <si>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</si>
  <si>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</si>
  <si>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</si>
  <si>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</si>
  <si>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</si>
  <si>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</si>
  <si>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</si>
  <si>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</si>
  <si>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</si>
  <si>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</si>
  <si>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</si>
  <si>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</si>
  <si>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</si>
  <si>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</si>
  <si>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Q2 (i) - workings</t>
  </si>
  <si>
    <t>[3]</t>
  </si>
  <si>
    <t>Present value of coupon payment of 1 at time:</t>
  </si>
  <si>
    <t>PV of redemption payment of 1</t>
  </si>
  <si>
    <t>10-year par yield</t>
  </si>
  <si>
    <t>Referencing the correct effective yield at each point</t>
  </si>
  <si>
    <t>PV with correct n</t>
  </si>
  <si>
    <t>All entries complete</t>
  </si>
  <si>
    <t>Extracted n=10</t>
  </si>
  <si>
    <t>for 1-v10</t>
  </si>
  <si>
    <t>for sum of v's</t>
  </si>
  <si>
    <t>presented as answer</t>
  </si>
  <si>
    <t>Q2 (ii), (a) and (b)  - workings</t>
  </si>
  <si>
    <t>Bank I</t>
  </si>
  <si>
    <t>Bank L</t>
  </si>
  <si>
    <t>Best one-period forward rate at time 3</t>
  </si>
  <si>
    <t>Best two-year forward rate at time 6</t>
  </si>
  <si>
    <t>Correct formula</t>
  </si>
  <si>
    <t>Completed for all 20 banks</t>
  </si>
  <si>
    <t>Correctly identified bank with highest rate</t>
  </si>
  <si>
    <t>Q2 (iii)  - workings</t>
  </si>
  <si>
    <t>Answer</t>
  </si>
  <si>
    <t>Q2 (iii)</t>
  </si>
  <si>
    <t>Bank K</t>
  </si>
  <si>
    <t>Time</t>
  </si>
  <si>
    <t>Cost of annuity</t>
  </si>
  <si>
    <t>Which bank to choose?</t>
  </si>
  <si>
    <t>Payment</t>
  </si>
  <si>
    <t>PV of payment</t>
  </si>
  <si>
    <t>Applying DFs (from Q2i) to each annuity amount correctly</t>
  </si>
  <si>
    <t>Starting at 1000 for annuity payment</t>
  </si>
  <si>
    <t>Increasing to 5500 in 500 steps</t>
  </si>
  <si>
    <t>Summation across terms for cost of annuity</t>
  </si>
  <si>
    <t>Identify smallest cost</t>
  </si>
  <si>
    <t>Answer reflects bank that offers the smallest cost</t>
  </si>
  <si>
    <t>&lt;note, if candidate correctly calculates DF in (iii) but not in (i), marks should be awarded in (i) for correct DF&gt;</t>
  </si>
  <si>
    <t>Q2 (iv) - workings</t>
  </si>
  <si>
    <t>Effective rate of return</t>
  </si>
  <si>
    <t xml:space="preserve">Target cost </t>
  </si>
  <si>
    <t>Correct formulae with effective rate</t>
  </si>
  <si>
    <t>Appropriately linked to correct payment and term</t>
  </si>
  <si>
    <t>Extended and summed across the term</t>
  </si>
  <si>
    <t>Identified and used the min cost from (iii)</t>
  </si>
  <si>
    <t>Goal seek for the effective annual rate of return</t>
  </si>
  <si>
    <t>Q2(iv)</t>
  </si>
  <si>
    <t>years</t>
  </si>
  <si>
    <t>Total</t>
  </si>
  <si>
    <t>from (iii)</t>
  </si>
  <si>
    <t>PV x term</t>
  </si>
  <si>
    <t>PV * term</t>
  </si>
  <si>
    <t>Extended across 10 years</t>
  </si>
  <si>
    <t>Summation of payment PV</t>
  </si>
  <si>
    <t>Duration</t>
  </si>
  <si>
    <t>Summation of PV x term</t>
  </si>
  <si>
    <t>Duration calculation set as answer</t>
  </si>
  <si>
    <t>Q2 - Answers</t>
  </si>
  <si>
    <t>(i)</t>
  </si>
  <si>
    <t>(ii)</t>
  </si>
  <si>
    <t>(iii)</t>
  </si>
  <si>
    <t>(iv)</t>
  </si>
  <si>
    <t>(v)</t>
  </si>
  <si>
    <t>Q3 Valuation Basis</t>
  </si>
  <si>
    <t>NET PREMIUM VALUATION BASIS</t>
  </si>
  <si>
    <t>Age</t>
  </si>
  <si>
    <t>qx</t>
  </si>
  <si>
    <t>Percentage of Valuation Base Mortality</t>
  </si>
  <si>
    <t>No Surrenders</t>
  </si>
  <si>
    <t>Valuation Interest Rate</t>
  </si>
  <si>
    <t>per annum.</t>
  </si>
  <si>
    <t>Q3 Profit Test Basis</t>
  </si>
  <si>
    <t>PROFIT TEST BASIS</t>
  </si>
  <si>
    <t>Policy Year</t>
  </si>
  <si>
    <t>Independent Rate of Surrender</t>
  </si>
  <si>
    <t>Surrenders occur evenly throughout the policy year</t>
  </si>
  <si>
    <t>3 - 19</t>
  </si>
  <si>
    <t>Percentage of Independent Base Mortality</t>
  </si>
  <si>
    <t>Initial Expense</t>
  </si>
  <si>
    <t>payable at outset of the policy.</t>
  </si>
  <si>
    <t>Renewal Expense</t>
  </si>
  <si>
    <t>per annum payable annually in advance from the start of year 2 onwards.</t>
  </si>
  <si>
    <t xml:space="preserve">Initial Commission </t>
  </si>
  <si>
    <t>of the premium payable in the first year.</t>
  </si>
  <si>
    <t>Renewal Commission</t>
  </si>
  <si>
    <t>of the premiums payable from year 2 onwards.</t>
  </si>
  <si>
    <t>Effective Interest Rate</t>
  </si>
  <si>
    <t>Claim Expense (All claim types)</t>
  </si>
  <si>
    <t>payable at the time of the claim.</t>
  </si>
  <si>
    <t>Risk Discount Rate</t>
  </si>
  <si>
    <t>Q3 (i) - workings</t>
  </si>
  <si>
    <t>Sum Assured</t>
  </si>
  <si>
    <t>&lt;Method 1&gt;</t>
  </si>
  <si>
    <t>&lt;Method 2&gt;</t>
  </si>
  <si>
    <t>&lt;Method 3&gt;</t>
  </si>
  <si>
    <t>[5]</t>
  </si>
  <si>
    <t>Base Mortality</t>
  </si>
  <si>
    <t>Valuation Mortality</t>
  </si>
  <si>
    <t>Annuity in advance</t>
  </si>
  <si>
    <t>TA</t>
  </si>
  <si>
    <t>PE</t>
  </si>
  <si>
    <t>EA</t>
  </si>
  <si>
    <t>Net Premium</t>
  </si>
  <si>
    <t>Net Premium Reserve start year</t>
  </si>
  <si>
    <t>EA factor</t>
  </si>
  <si>
    <t>Q3 (ii) - workings</t>
  </si>
  <si>
    <r>
      <t>q</t>
    </r>
    <r>
      <rPr>
        <vertAlign val="subscript"/>
        <sz val="10"/>
        <color theme="0"/>
        <rFont val="Tahoma"/>
        <family val="2"/>
      </rPr>
      <t>x</t>
    </r>
    <r>
      <rPr>
        <vertAlign val="superscript"/>
        <sz val="10"/>
        <color theme="0"/>
        <rFont val="Tahoma"/>
        <family val="2"/>
      </rPr>
      <t>d</t>
    </r>
  </si>
  <si>
    <r>
      <t>q</t>
    </r>
    <r>
      <rPr>
        <vertAlign val="subscript"/>
        <sz val="10"/>
        <color theme="0"/>
        <rFont val="Tahoma"/>
        <family val="2"/>
      </rPr>
      <t>x</t>
    </r>
    <r>
      <rPr>
        <vertAlign val="superscript"/>
        <sz val="10"/>
        <color theme="0"/>
        <rFont val="Tahoma"/>
        <family val="2"/>
      </rPr>
      <t>s</t>
    </r>
  </si>
  <si>
    <t>force of mortality</t>
  </si>
  <si>
    <t>force of surr</t>
  </si>
  <si>
    <r>
      <t>(ap)</t>
    </r>
    <r>
      <rPr>
        <vertAlign val="subscript"/>
        <sz val="10"/>
        <color theme="0"/>
        <rFont val="Tahoma"/>
        <family val="2"/>
      </rPr>
      <t>x</t>
    </r>
  </si>
  <si>
    <r>
      <t>(aq)</t>
    </r>
    <r>
      <rPr>
        <vertAlign val="subscript"/>
        <sz val="10"/>
        <color theme="0"/>
        <rFont val="Tahoma"/>
        <family val="2"/>
      </rPr>
      <t>x</t>
    </r>
    <r>
      <rPr>
        <vertAlign val="superscript"/>
        <sz val="10"/>
        <color theme="0"/>
        <rFont val="Tahoma"/>
        <family val="2"/>
      </rPr>
      <t>d</t>
    </r>
  </si>
  <si>
    <r>
      <t>(aq)</t>
    </r>
    <r>
      <rPr>
        <vertAlign val="subscript"/>
        <sz val="10"/>
        <color theme="0"/>
        <rFont val="Tahoma"/>
        <family val="2"/>
      </rPr>
      <t>x</t>
    </r>
    <r>
      <rPr>
        <vertAlign val="superscript"/>
        <sz val="10"/>
        <color theme="0"/>
        <rFont val="Tahoma"/>
        <family val="2"/>
      </rPr>
      <t>s</t>
    </r>
  </si>
  <si>
    <t>Q3 (iii) - workings</t>
  </si>
  <si>
    <t>Basis:</t>
  </si>
  <si>
    <t>from (i)</t>
  </si>
  <si>
    <t>from (ii)</t>
  </si>
  <si>
    <t>[4]</t>
  </si>
  <si>
    <t>Premium</t>
  </si>
  <si>
    <t>Expense</t>
  </si>
  <si>
    <t>Commission</t>
  </si>
  <si>
    <t>Interest</t>
  </si>
  <si>
    <r>
      <t>(aq)</t>
    </r>
    <r>
      <rPr>
        <vertAlign val="subscript"/>
        <sz val="10"/>
        <color theme="0"/>
        <rFont val="Tahoma"/>
        <family val="2"/>
      </rPr>
      <t>x</t>
    </r>
    <r>
      <rPr>
        <vertAlign val="superscript"/>
        <sz val="10"/>
        <color theme="0"/>
        <rFont val="Tahoma"/>
        <family val="2"/>
      </rPr>
      <t xml:space="preserve"> s</t>
    </r>
  </si>
  <si>
    <t>Death Payment</t>
  </si>
  <si>
    <t>Maturity Payment</t>
  </si>
  <si>
    <t>Death and Maturity Claim Expense</t>
  </si>
  <si>
    <t>Surrender Payment</t>
  </si>
  <si>
    <t>Surrender Claim Expense</t>
  </si>
  <si>
    <t>NP Reserve at Start</t>
  </si>
  <si>
    <t xml:space="preserve">NP Reserve at end </t>
  </si>
  <si>
    <t>Interest on NP reserve</t>
  </si>
  <si>
    <t>Increase in NP Reserve</t>
  </si>
  <si>
    <t>Profit Vector</t>
  </si>
  <si>
    <r>
      <rPr>
        <vertAlign val="subscript"/>
        <sz val="10"/>
        <color theme="0"/>
        <rFont val="Tahoma"/>
        <family val="2"/>
      </rPr>
      <t>t-1</t>
    </r>
    <r>
      <rPr>
        <sz val="10"/>
        <color theme="0"/>
        <rFont val="Tahoma"/>
        <family val="2"/>
      </rPr>
      <t>(ap)</t>
    </r>
    <r>
      <rPr>
        <vertAlign val="subscript"/>
        <sz val="10"/>
        <color theme="0"/>
        <rFont val="Tahoma"/>
        <family val="2"/>
      </rPr>
      <t>x</t>
    </r>
  </si>
  <si>
    <t>Profit Signature</t>
  </si>
  <si>
    <r>
      <t>v</t>
    </r>
    <r>
      <rPr>
        <vertAlign val="superscript"/>
        <sz val="10"/>
        <color theme="0"/>
        <rFont val="Tahoma"/>
        <family val="2"/>
      </rPr>
      <t>n</t>
    </r>
  </si>
  <si>
    <t>Present Value of Profit</t>
  </si>
  <si>
    <t>Present Value of Premium</t>
  </si>
  <si>
    <t>Total PV Profit</t>
  </si>
  <si>
    <t>Total PV Premium</t>
  </si>
  <si>
    <t>Profit Margin</t>
  </si>
  <si>
    <t>Initial</t>
  </si>
  <si>
    <t>Renewal</t>
  </si>
  <si>
    <t>Premium across 20 years</t>
  </si>
  <si>
    <t>Initial expense in year 1 only</t>
  </si>
  <si>
    <t>Renewal expenses from year 2 onwards</t>
  </si>
  <si>
    <t>Initial commission in year 1 only</t>
  </si>
  <si>
    <t>Renewal comm from year 2 onwards</t>
  </si>
  <si>
    <t>Interest calculated across all fields</t>
  </si>
  <si>
    <t>Correctly refer to part (ii) and SA</t>
  </si>
  <si>
    <t>Maturity payment at end only</t>
  </si>
  <si>
    <t>Claim expense in full at t=20 (apx +aqdx=1)</t>
  </si>
  <si>
    <t>Surr payment - allow for interest at n=0.5</t>
  </si>
  <si>
    <t>Surr payment based on NP reserve at start</t>
  </si>
  <si>
    <t>Correctly pull through aqxs</t>
  </si>
  <si>
    <t>Surrender claim expense calc</t>
  </si>
  <si>
    <t>surr expenses with int at n=0.5</t>
  </si>
  <si>
    <t>Correctly pull through NP reserve from (i)</t>
  </si>
  <si>
    <t>NP reserve at end calc with apx</t>
  </si>
  <si>
    <t>Int on NP reserve</t>
  </si>
  <si>
    <t>increase in NP reserve</t>
  </si>
  <si>
    <t>Profit vector calc</t>
  </si>
  <si>
    <t>start at 1</t>
  </si>
  <si>
    <t>apx calc</t>
  </si>
  <si>
    <t>Profit signature calc</t>
  </si>
  <si>
    <t>DF calc</t>
  </si>
  <si>
    <t>PV of profit</t>
  </si>
  <si>
    <t>PV premium</t>
  </si>
  <si>
    <t>Profit margin calculation</t>
  </si>
  <si>
    <t>Q3 - Answers</t>
  </si>
  <si>
    <r>
      <rPr>
        <sz val="10"/>
        <color theme="0"/>
        <rFont val="Tahoma"/>
        <family val="2"/>
      </rPr>
      <t>(aq)</t>
    </r>
    <r>
      <rPr>
        <vertAlign val="subscript"/>
        <sz val="10"/>
        <color theme="0"/>
        <rFont val="Tahoma"/>
        <family val="2"/>
      </rPr>
      <t>x</t>
    </r>
    <r>
      <rPr>
        <vertAlign val="superscript"/>
        <sz val="10"/>
        <color theme="0"/>
        <rFont val="Tahoma"/>
        <family val="2"/>
      </rPr>
      <t>d</t>
    </r>
  </si>
  <si>
    <r>
      <rPr>
        <sz val="10"/>
        <color theme="0"/>
        <rFont val="Tahoma"/>
        <family val="2"/>
      </rPr>
      <t>(aq)</t>
    </r>
    <r>
      <rPr>
        <vertAlign val="subscript"/>
        <sz val="10"/>
        <color theme="0"/>
        <rFont val="Tahoma"/>
        <family val="2"/>
      </rPr>
      <t>x</t>
    </r>
    <r>
      <rPr>
        <vertAlign val="superscript"/>
        <sz val="10"/>
        <color theme="0"/>
        <rFont val="Tahoma"/>
        <family val="2"/>
      </rPr>
      <t>s</t>
    </r>
  </si>
  <si>
    <t>Mortality Table A</t>
  </si>
  <si>
    <t>of Mortality Table A</t>
  </si>
  <si>
    <t>Mortality Table B</t>
  </si>
  <si>
    <t>of Mortality Table B</t>
  </si>
  <si>
    <t>Full marks should be awarded to candidates who show sufficient working to determine the highest forward rates.</t>
  </si>
  <si>
    <t>It is not necessary to complete the calculations.</t>
  </si>
  <si>
    <t>eg full marks should be awarded for giving answers in the form 1+i or omitting the square root calculation in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</si>
</sst>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000"/>
    <numFmt numFmtId="165" formatCode="0.000%"/>
    <numFmt numFmtId="166" formatCode="0.0000%"/>
    <numFmt numFmtId="167" formatCode="[$$-409]#,##0"/>
    <numFmt numFmtId="168" formatCode="[$$-409]#,##0.00"/>
    <numFmt numFmtId="169" formatCode="0.0000000"/>
    <numFmt numFmtId="170" formatCode="0.0%"/>
    <numFmt numFmtId="171" formatCode="_-* #,##0_-;\-* #,##0_-;_-* &quot;-&quot;??_-;_-@_-"/>
    <numFmt numFmtId="172" formatCode="0.00000"/>
    <numFmt numFmtId="173" formatCode="0.0000"/>
    <numFmt numFmtId="174" formatCode="_-* #,##0.0000_-;\-* #,##0.0000_-;_-* &quot;-&quot;??_-;_-@_-"/>
    <numFmt numFmtId="175" formatCode="_-* #,##0.000000_-;\-* #,##0.000000_-;_-* &quot;-&quot;??_-;_-@_-"/>
    <numFmt numFmtId="176" formatCode="_(* #,##0.00_);_(* \(#,##0.00\);_(* &quot;-&quot;??_);_(@_)"/>
  </numFmts>
  <fonts count="28" x14ac:knownFonts="1">
    <font>
      <sz val="11"/>
      <color theme="1"/>
      <name val="Calibri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20"/>
      <color theme="1"/>
      <name val="Tahoma"/>
      <family val="2"/>
    </font>
    <font>
      <b/>
      <sz val="14"/>
      <color theme="0"/>
      <name val="Tahoma"/>
      <family val="2"/>
    </font>
    <font>
      <b/>
      <sz val="12"/>
      <color rgb="FFFFC000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b/>
      <sz val="10"/>
      <color indexed="2"/>
      <name val="Tahoma"/>
      <family val="2"/>
    </font>
    <font>
      <sz val="10"/>
      <color indexed="2"/>
      <name val="Tahoma"/>
      <family val="2"/>
    </font>
    <font>
      <b/>
      <sz val="20"/>
      <color indexed="2"/>
      <name val="Tahoma"/>
      <family val="2"/>
    </font>
    <font>
      <sz val="20"/>
      <color indexed="2"/>
      <name val="Tahoma"/>
      <family val="2"/>
    </font>
    <font>
      <b/>
      <sz val="10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b/>
      <sz val="14"/>
      <color theme="0"/>
      <name val="Tahoma"/>
      <family val="2"/>
    </font>
    <font>
      <i/>
      <sz val="9"/>
      <color theme="1"/>
      <name val="Tahoma"/>
      <family val="2"/>
    </font>
    <font>
      <i/>
      <sz val="10"/>
      <color theme="1"/>
      <name val="Tahoma"/>
      <family val="2"/>
    </font>
    <font>
      <b/>
      <sz val="11"/>
      <color rgb="FFFFC000"/>
      <name val="Tahoma"/>
      <family val="2"/>
    </font>
    <font>
      <sz val="10"/>
      <color rgb="FF0070C0"/>
      <name val="Tahoma"/>
      <family val="2"/>
    </font>
    <font>
      <i/>
      <sz val="10"/>
      <color rgb="FF0070C0"/>
      <name val="Tahoma"/>
      <family val="2"/>
    </font>
    <font>
      <i/>
      <sz val="10"/>
      <color theme="0"/>
      <name val="Tahoma"/>
      <family val="2"/>
    </font>
    <font>
      <sz val="11"/>
      <color theme="1"/>
      <name val="Calibri"/>
      <family val="2"/>
      <scheme val="minor"/>
    </font>
    <font>
      <vertAlign val="subscript"/>
      <sz val="10"/>
      <color theme="0"/>
      <name val="Tahoma"/>
      <family val="2"/>
    </font>
    <font>
      <vertAlign val="superscript"/>
      <sz val="10"/>
      <color theme="0"/>
      <name val="Tahoma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FFE389"/>
        <bgColor rgb="FFFFE38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theme="8" tint="0.79998168889431442"/>
      </patternFill>
    </fill>
    <fill>
      <patternFill patternType="solid">
        <fgColor theme="6"/>
        <bgColor theme="6" tint="0.79998168889431442"/>
      </patternFill>
    </fill>
    <fill>
      <patternFill patternType="solid">
        <fgColor theme="6"/>
        <bgColor rgb="FFFFE389"/>
      </patternFill>
    </fill>
    <fill>
      <patternFill patternType="solid">
        <fgColor theme="5" tint="0.39997558519241921"/>
        <bgColor theme="6" tint="0.79998168889431442"/>
      </patternFill>
    </fill>
    <fill>
      <patternFill patternType="solid">
        <fgColor theme="5" tint="0.39997558519241921"/>
        <bgColor theme="8" tint="0.79998168889431442"/>
      </patternFill>
    </fill>
    <fill>
      <patternFill patternType="solid">
        <fgColor theme="5" tint="0.39997558519241921"/>
        <bgColor rgb="FFFFE389"/>
      </patternFill>
    </fill>
    <fill>
      <patternFill patternType="solid">
        <fgColor theme="7"/>
        <bgColor theme="0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theme="6" tint="0.79998168889431442"/>
      </patternFill>
    </fill>
    <fill>
      <patternFill patternType="solid">
        <fgColor theme="7" tint="0.39997558519241921"/>
        <bgColor rgb="FFFFE389"/>
      </patternFill>
    </fill>
    <fill>
      <patternFill patternType="solid">
        <fgColor theme="6" tint="0.39997558519241921"/>
        <bgColor theme="8" tint="0.79998168889431442"/>
      </patternFill>
    </fill>
    <fill>
      <patternFill patternType="solid">
        <fgColor theme="6" tint="0.39997558519241921"/>
        <bgColor rgb="FFFFE389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-0.249977111117893"/>
        <bgColor rgb="FFFFE389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-0.249977111117893"/>
        <bgColor rgb="FFFFE389"/>
      </patternFill>
    </fill>
    <fill>
      <patternFill patternType="solid">
        <fgColor theme="6" tint="0.39997558519241921"/>
        <bgColor theme="6" tint="0.79998168889431442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rgb="FFFFE389"/>
      </patternFill>
    </fill>
    <fill>
      <patternFill patternType="solid">
        <fgColor theme="5" tint="0.59999389629810485"/>
        <bgColor theme="8" tint="0.79998168889431442"/>
      </patternFill>
    </fill>
    <fill>
      <patternFill patternType="solid">
        <fgColor theme="5" tint="0.59999389629810485"/>
        <bgColor theme="6" tint="0.79998168889431442"/>
      </patternFill>
    </fill>
    <fill>
      <patternFill patternType="solid">
        <fgColor theme="7" tint="0.59999389629810485"/>
        <bgColor theme="8" tint="0.79998168889431442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5" tint="0.59999389629810485"/>
        <bgColor rgb="FFFFE389"/>
      </patternFill>
    </fill>
    <fill>
      <patternFill patternType="solid">
        <fgColor theme="6" tint="0.39997558519241921"/>
        <bgColor theme="8" tint="0.59999389629810485"/>
      </patternFill>
    </fill>
    <fill>
      <patternFill patternType="solid">
        <fgColor theme="5" tint="0.59999389629810485"/>
        <bgColor theme="6" tint="0.39997558519241921"/>
      </patternFill>
    </fill>
    <fill>
      <patternFill patternType="solid">
        <fgColor theme="5" tint="0.59999389629810485"/>
        <bgColor theme="8" tint="0.59999389629810485"/>
      </patternFill>
    </fill>
    <fill>
      <patternFill patternType="solid">
        <fgColor theme="7" tint="0.59999389629810485"/>
        <bgColor theme="6" tint="0.79998168889431442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9" tint="0.59999389629810485"/>
        <bgColor theme="8" tint="0.79998168889431442"/>
      </patternFill>
    </fill>
    <fill>
      <patternFill patternType="solid">
        <fgColor theme="8" tint="0.59999389629810485"/>
        <bgColor theme="6" tint="0.79998168889431442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rgb="FFFFFF99"/>
        <bgColor theme="6" tint="0.79998168889431442"/>
      </patternFill>
    </fill>
    <fill>
      <patternFill patternType="solid">
        <fgColor rgb="FFFFFF99"/>
        <bgColor theme="8" tint="0.79998168889431442"/>
      </patternFill>
    </fill>
    <fill>
      <patternFill patternType="solid">
        <fgColor rgb="FFFFFF99"/>
        <bgColor rgb="FFFFE389"/>
      </patternFill>
    </fill>
  </fills>
  <borders count="17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5" fillId="0" borderId="0"/>
    <xf numFmtId="44" fontId="25" fillId="0" borderId="0"/>
    <xf numFmtId="0" fontId="1" fillId="0" borderId="0"/>
    <xf numFmtId="0" fontId="25" fillId="0" borderId="0"/>
    <xf numFmtId="9" fontId="25" fillId="0" borderId="0"/>
  </cellStyleXfs>
  <cellXfs count="2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4" fillId="3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3" borderId="1" xfId="0" applyFont="1" applyFill="1" applyBorder="1"/>
    <xf numFmtId="0" fontId="12" fillId="3" borderId="1" xfId="0" applyFont="1" applyFill="1" applyBorder="1"/>
    <xf numFmtId="0" fontId="8" fillId="2" borderId="0" xfId="0" applyFont="1" applyFill="1" applyAlignment="1">
      <alignment horizontal="center"/>
    </xf>
    <xf numFmtId="164" fontId="8" fillId="5" borderId="2" xfId="0" applyNumberFormat="1" applyFont="1" applyFill="1" applyBorder="1"/>
    <xf numFmtId="0" fontId="9" fillId="5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9" fillId="6" borderId="0" xfId="0" applyFont="1" applyFill="1"/>
    <xf numFmtId="0" fontId="10" fillId="6" borderId="0" xfId="0" applyFont="1" applyFill="1"/>
    <xf numFmtId="0" fontId="9" fillId="7" borderId="0" xfId="0" applyFont="1" applyFill="1"/>
    <xf numFmtId="0" fontId="10" fillId="7" borderId="0" xfId="0" applyFont="1" applyFill="1"/>
    <xf numFmtId="0" fontId="10" fillId="5" borderId="0" xfId="0" applyFont="1" applyFill="1"/>
    <xf numFmtId="164" fontId="8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0" fontId="9" fillId="2" borderId="0" xfId="0" applyFont="1" applyFill="1" applyAlignment="1">
      <alignment horizontal="right"/>
    </xf>
    <xf numFmtId="0" fontId="6" fillId="3" borderId="3" xfId="0" applyFont="1" applyFill="1" applyBorder="1"/>
    <xf numFmtId="0" fontId="4" fillId="3" borderId="3" xfId="0" applyFont="1" applyFill="1" applyBorder="1" applyAlignment="1">
      <alignment horizontal="left" vertical="center"/>
    </xf>
    <xf numFmtId="0" fontId="3" fillId="3" borderId="3" xfId="0" applyFont="1" applyFill="1" applyBorder="1"/>
    <xf numFmtId="0" fontId="2" fillId="2" borderId="0" xfId="0" applyFont="1" applyFill="1" applyAlignment="1">
      <alignment horizontal="center"/>
    </xf>
    <xf numFmtId="0" fontId="17" fillId="4" borderId="2" xfId="0" applyFont="1" applyFill="1" applyBorder="1" applyAlignment="1">
      <alignment horizontal="center"/>
    </xf>
    <xf numFmtId="165" fontId="2" fillId="2" borderId="5" xfId="5" applyNumberFormat="1" applyFont="1" applyFill="1" applyBorder="1"/>
    <xf numFmtId="165" fontId="2" fillId="2" borderId="0" xfId="5" applyNumberFormat="1" applyFont="1" applyFill="1"/>
    <xf numFmtId="166" fontId="2" fillId="2" borderId="0" xfId="0" applyNumberFormat="1" applyFont="1" applyFill="1"/>
    <xf numFmtId="165" fontId="2" fillId="2" borderId="2" xfId="5" applyNumberFormat="1" applyFont="1" applyFill="1" applyBorder="1"/>
    <xf numFmtId="0" fontId="9" fillId="2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6" borderId="2" xfId="0" applyFont="1" applyFill="1" applyBorder="1"/>
    <xf numFmtId="0" fontId="6" fillId="7" borderId="2" xfId="0" applyFont="1" applyFill="1" applyBorder="1"/>
    <xf numFmtId="165" fontId="6" fillId="5" borderId="2" xfId="5" applyNumberFormat="1" applyFont="1" applyFill="1" applyBorder="1"/>
    <xf numFmtId="2" fontId="6" fillId="2" borderId="0" xfId="0" applyNumberFormat="1" applyFont="1" applyFill="1"/>
    <xf numFmtId="0" fontId="6" fillId="5" borderId="6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4" fillId="4" borderId="2" xfId="0" applyFont="1" applyFill="1" applyBorder="1"/>
    <xf numFmtId="168" fontId="6" fillId="7" borderId="2" xfId="0" applyNumberFormat="1" applyFont="1" applyFill="1" applyBorder="1"/>
    <xf numFmtId="0" fontId="6" fillId="2" borderId="2" xfId="0" applyFont="1" applyFill="1" applyBorder="1"/>
    <xf numFmtId="10" fontId="6" fillId="5" borderId="6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168" fontId="6" fillId="7" borderId="6" xfId="0" applyNumberFormat="1" applyFont="1" applyFill="1" applyBorder="1"/>
    <xf numFmtId="0" fontId="9" fillId="7" borderId="8" xfId="0" applyFont="1" applyFill="1" applyBorder="1" applyAlignment="1">
      <alignment horizontal="center"/>
    </xf>
    <xf numFmtId="10" fontId="6" fillId="2" borderId="0" xfId="0" applyNumberFormat="1" applyFont="1" applyFill="1"/>
    <xf numFmtId="168" fontId="6" fillId="2" borderId="2" xfId="0" applyNumberFormat="1" applyFont="1" applyFill="1" applyBorder="1"/>
    <xf numFmtId="168" fontId="6" fillId="6" borderId="2" xfId="0" applyNumberFormat="1" applyFont="1" applyFill="1" applyBorder="1"/>
    <xf numFmtId="168" fontId="6" fillId="6" borderId="2" xfId="2" applyNumberFormat="1" applyFont="1" applyFill="1" applyBorder="1"/>
    <xf numFmtId="2" fontId="6" fillId="2" borderId="0" xfId="2" applyNumberFormat="1" applyFont="1" applyFill="1"/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right"/>
    </xf>
    <xf numFmtId="2" fontId="8" fillId="5" borderId="9" xfId="0" applyNumberFormat="1" applyFont="1" applyFill="1" applyBorder="1" applyAlignment="1">
      <alignment horizontal="right"/>
    </xf>
    <xf numFmtId="0" fontId="8" fillId="5" borderId="10" xfId="0" applyFont="1" applyFill="1" applyBorder="1" applyAlignment="1">
      <alignment horizontal="left"/>
    </xf>
    <xf numFmtId="0" fontId="20" fillId="2" borderId="0" xfId="0" applyFont="1" applyFill="1"/>
    <xf numFmtId="0" fontId="10" fillId="2" borderId="0" xfId="5" applyNumberFormat="1" applyFont="1" applyFill="1"/>
    <xf numFmtId="2" fontId="10" fillId="2" borderId="0" xfId="0" applyNumberFormat="1" applyFont="1" applyFill="1"/>
    <xf numFmtId="2" fontId="14" fillId="4" borderId="2" xfId="0" applyNumberFormat="1" applyFont="1" applyFill="1" applyBorder="1" applyAlignment="1">
      <alignment horizontal="center" vertical="center"/>
    </xf>
    <xf numFmtId="2" fontId="6" fillId="2" borderId="2" xfId="2" applyNumberFormat="1" applyFont="1" applyFill="1" applyBorder="1"/>
    <xf numFmtId="0" fontId="6" fillId="2" borderId="12" xfId="0" applyFont="1" applyFill="1" applyBorder="1"/>
    <xf numFmtId="0" fontId="21" fillId="2" borderId="0" xfId="0" applyFont="1" applyFill="1"/>
    <xf numFmtId="0" fontId="14" fillId="4" borderId="2" xfId="0" applyFont="1" applyFill="1" applyBorder="1" applyAlignment="1">
      <alignment horizontal="right" indent="1"/>
    </xf>
    <xf numFmtId="169" fontId="6" fillId="2" borderId="2" xfId="0" applyNumberFormat="1" applyFont="1" applyFill="1" applyBorder="1" applyAlignment="1">
      <alignment horizontal="right" vertical="center" indent="1"/>
    </xf>
    <xf numFmtId="9" fontId="15" fillId="2" borderId="0" xfId="0" applyNumberFormat="1" applyFont="1" applyFill="1"/>
    <xf numFmtId="9" fontId="6" fillId="2" borderId="0" xfId="0" applyNumberFormat="1" applyFont="1" applyFill="1"/>
    <xf numFmtId="170" fontId="15" fillId="2" borderId="0" xfId="0" applyNumberFormat="1" applyFont="1" applyFill="1"/>
    <xf numFmtId="170" fontId="6" fillId="2" borderId="0" xfId="0" applyNumberFormat="1" applyFont="1" applyFill="1"/>
    <xf numFmtId="0" fontId="6" fillId="2" borderId="0" xfId="0" quotePrefix="1" applyFont="1" applyFill="1" applyAlignment="1">
      <alignment horizontal="right"/>
    </xf>
    <xf numFmtId="0" fontId="5" fillId="2" borderId="0" xfId="4" applyFont="1" applyFill="1" applyAlignment="1">
      <alignment horizontal="left" vertical="center"/>
    </xf>
    <xf numFmtId="0" fontId="6" fillId="2" borderId="0" xfId="4" applyFont="1" applyFill="1"/>
    <xf numFmtId="0" fontId="14" fillId="4" borderId="2" xfId="0" applyFont="1" applyFill="1" applyBorder="1" applyAlignment="1">
      <alignment horizontal="left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right" vertical="center" indent="1"/>
    </xf>
    <xf numFmtId="9" fontId="6" fillId="2" borderId="2" xfId="0" applyNumberFormat="1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right" vertical="center" indent="1"/>
    </xf>
    <xf numFmtId="0" fontId="6" fillId="2" borderId="2" xfId="0" quotePrefix="1" applyFont="1" applyFill="1" applyBorder="1" applyAlignment="1">
      <alignment horizontal="center" vertical="center"/>
    </xf>
    <xf numFmtId="170" fontId="6" fillId="2" borderId="2" xfId="0" applyNumberFormat="1" applyFont="1" applyFill="1" applyBorder="1" applyAlignment="1">
      <alignment horizontal="center"/>
    </xf>
    <xf numFmtId="6" fontId="15" fillId="2" borderId="0" xfId="0" applyNumberFormat="1" applyFont="1" applyFill="1"/>
    <xf numFmtId="171" fontId="22" fillId="2" borderId="0" xfId="1" applyNumberFormat="1" applyFont="1" applyFill="1"/>
    <xf numFmtId="0" fontId="7" fillId="4" borderId="2" xfId="0" applyFont="1" applyFill="1" applyBorder="1"/>
    <xf numFmtId="9" fontId="22" fillId="2" borderId="0" xfId="0" applyNumberFormat="1" applyFont="1" applyFill="1"/>
    <xf numFmtId="0" fontId="6" fillId="2" borderId="0" xfId="0" applyFont="1" applyFill="1" applyAlignment="1">
      <alignment wrapText="1"/>
    </xf>
    <xf numFmtId="43" fontId="6" fillId="2" borderId="0" xfId="0" applyNumberFormat="1" applyFont="1" applyFill="1"/>
    <xf numFmtId="43" fontId="6" fillId="5" borderId="2" xfId="1" applyNumberFormat="1" applyFont="1" applyFill="1" applyBorder="1"/>
    <xf numFmtId="0" fontId="9" fillId="2" borderId="0" xfId="0" applyFont="1" applyFill="1" applyAlignment="1">
      <alignment horizontal="center" vertical="center"/>
    </xf>
    <xf numFmtId="173" fontId="6" fillId="5" borderId="2" xfId="0" applyNumberFormat="1" applyFont="1" applyFill="1" applyBorder="1" applyAlignment="1">
      <alignment horizontal="center" vertical="center"/>
    </xf>
    <xf numFmtId="0" fontId="22" fillId="2" borderId="0" xfId="0" applyFont="1" applyFill="1"/>
    <xf numFmtId="0" fontId="23" fillId="2" borderId="0" xfId="0" applyFont="1" applyFill="1"/>
    <xf numFmtId="43" fontId="6" fillId="8" borderId="2" xfId="1" applyNumberFormat="1" applyFont="1" applyFill="1" applyBorder="1"/>
    <xf numFmtId="174" fontId="6" fillId="2" borderId="2" xfId="1" applyNumberFormat="1" applyFont="1" applyFill="1" applyBorder="1"/>
    <xf numFmtId="0" fontId="6" fillId="5" borderId="2" xfId="0" applyFont="1" applyFill="1" applyBorder="1" applyAlignment="1">
      <alignment vertical="center"/>
    </xf>
    <xf numFmtId="176" fontId="6" fillId="5" borderId="2" xfId="0" applyNumberFormat="1" applyFont="1" applyFill="1" applyBorder="1"/>
    <xf numFmtId="164" fontId="6" fillId="2" borderId="2" xfId="0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6" fillId="0" borderId="0" xfId="0" applyFont="1"/>
    <xf numFmtId="164" fontId="8" fillId="10" borderId="2" xfId="3" applyNumberFormat="1" applyFont="1" applyFill="1" applyBorder="1" applyAlignment="1">
      <alignment horizontal="center"/>
    </xf>
    <xf numFmtId="164" fontId="8" fillId="11" borderId="2" xfId="3" applyNumberFormat="1" applyFont="1" applyFill="1" applyBorder="1" applyAlignment="1">
      <alignment horizontal="center"/>
    </xf>
    <xf numFmtId="164" fontId="8" fillId="10" borderId="2" xfId="0" applyNumberFormat="1" applyFont="1" applyFill="1" applyBorder="1"/>
    <xf numFmtId="164" fontId="6" fillId="10" borderId="2" xfId="0" applyNumberFormat="1" applyFont="1" applyFill="1" applyBorder="1"/>
    <xf numFmtId="164" fontId="15" fillId="10" borderId="2" xfId="0" applyNumberFormat="1" applyFont="1" applyFill="1" applyBorder="1"/>
    <xf numFmtId="164" fontId="8" fillId="12" borderId="2" xfId="0" applyNumberFormat="1" applyFont="1" applyFill="1" applyBorder="1"/>
    <xf numFmtId="164" fontId="8" fillId="13" borderId="2" xfId="0" applyNumberFormat="1" applyFont="1" applyFill="1" applyBorder="1"/>
    <xf numFmtId="164" fontId="8" fillId="14" borderId="2" xfId="0" applyNumberFormat="1" applyFont="1" applyFill="1" applyBorder="1"/>
    <xf numFmtId="164" fontId="6" fillId="13" borderId="2" xfId="0" applyNumberFormat="1" applyFont="1" applyFill="1" applyBorder="1"/>
    <xf numFmtId="164" fontId="6" fillId="14" borderId="2" xfId="0" applyNumberFormat="1" applyFont="1" applyFill="1" applyBorder="1"/>
    <xf numFmtId="164" fontId="15" fillId="13" borderId="2" xfId="0" applyNumberFormat="1" applyFont="1" applyFill="1" applyBorder="1"/>
    <xf numFmtId="164" fontId="8" fillId="15" borderId="2" xfId="0" applyNumberFormat="1" applyFont="1" applyFill="1" applyBorder="1"/>
    <xf numFmtId="164" fontId="13" fillId="16" borderId="0" xfId="0" applyNumberFormat="1" applyFont="1" applyFill="1"/>
    <xf numFmtId="0" fontId="9" fillId="17" borderId="0" xfId="0" applyFont="1" applyFill="1"/>
    <xf numFmtId="0" fontId="10" fillId="17" borderId="0" xfId="0" applyFont="1" applyFill="1"/>
    <xf numFmtId="0" fontId="9" fillId="18" borderId="0" xfId="0" applyFont="1" applyFill="1"/>
    <xf numFmtId="0" fontId="10" fillId="18" borderId="0" xfId="0" applyFont="1" applyFill="1"/>
    <xf numFmtId="0" fontId="9" fillId="19" borderId="0" xfId="0" applyFont="1" applyFill="1"/>
    <xf numFmtId="0" fontId="10" fillId="19" borderId="0" xfId="0" applyFont="1" applyFill="1"/>
    <xf numFmtId="164" fontId="8" fillId="19" borderId="2" xfId="0" applyNumberFormat="1" applyFont="1" applyFill="1" applyBorder="1"/>
    <xf numFmtId="164" fontId="8" fillId="17" borderId="2" xfId="0" applyNumberFormat="1" applyFont="1" applyFill="1" applyBorder="1"/>
    <xf numFmtId="164" fontId="8" fillId="18" borderId="2" xfId="0" applyNumberFormat="1" applyFont="1" applyFill="1" applyBorder="1"/>
    <xf numFmtId="0" fontId="9" fillId="10" borderId="0" xfId="0" applyFont="1" applyFill="1"/>
    <xf numFmtId="0" fontId="10" fillId="10" borderId="0" xfId="0" applyFont="1" applyFill="1"/>
    <xf numFmtId="0" fontId="9" fillId="11" borderId="0" xfId="0" applyFont="1" applyFill="1"/>
    <xf numFmtId="0" fontId="10" fillId="11" borderId="0" xfId="0" applyFont="1" applyFill="1"/>
    <xf numFmtId="0" fontId="9" fillId="12" borderId="0" xfId="0" applyFont="1" applyFill="1"/>
    <xf numFmtId="0" fontId="10" fillId="12" borderId="0" xfId="0" applyFont="1" applyFill="1"/>
    <xf numFmtId="0" fontId="9" fillId="13" borderId="0" xfId="0" applyFont="1" applyFill="1"/>
    <xf numFmtId="0" fontId="10" fillId="13" borderId="0" xfId="0" applyFont="1" applyFill="1"/>
    <xf numFmtId="0" fontId="9" fillId="14" borderId="0" xfId="0" applyFont="1" applyFill="1"/>
    <xf numFmtId="0" fontId="10" fillId="14" borderId="0" xfId="0" applyFont="1" applyFill="1"/>
    <xf numFmtId="0" fontId="9" fillId="15" borderId="0" xfId="0" applyFont="1" applyFill="1"/>
    <xf numFmtId="0" fontId="10" fillId="15" borderId="0" xfId="0" applyFont="1" applyFill="1"/>
    <xf numFmtId="10" fontId="6" fillId="20" borderId="2" xfId="5" applyNumberFormat="1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6" fillId="21" borderId="6" xfId="0" applyFont="1" applyFill="1" applyBorder="1" applyAlignment="1">
      <alignment horizontal="center"/>
    </xf>
    <xf numFmtId="0" fontId="6" fillId="23" borderId="2" xfId="0" applyFont="1" applyFill="1" applyBorder="1" applyAlignment="1">
      <alignment horizontal="center" vertical="center"/>
    </xf>
    <xf numFmtId="10" fontId="6" fillId="14" borderId="2" xfId="5" applyNumberFormat="1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/>
    </xf>
    <xf numFmtId="0" fontId="6" fillId="25" borderId="2" xfId="0" applyFont="1" applyFill="1" applyBorder="1" applyAlignment="1">
      <alignment horizontal="center" vertical="center"/>
    </xf>
    <xf numFmtId="0" fontId="9" fillId="20" borderId="7" xfId="0" applyFont="1" applyFill="1" applyBorder="1"/>
    <xf numFmtId="0" fontId="10" fillId="20" borderId="7" xfId="0" applyFont="1" applyFill="1" applyBorder="1"/>
    <xf numFmtId="0" fontId="9" fillId="21" borderId="7" xfId="0" applyFont="1" applyFill="1" applyBorder="1"/>
    <xf numFmtId="0" fontId="10" fillId="21" borderId="7" xfId="0" applyFont="1" applyFill="1" applyBorder="1"/>
    <xf numFmtId="0" fontId="9" fillId="14" borderId="7" xfId="0" applyFont="1" applyFill="1" applyBorder="1"/>
    <xf numFmtId="0" fontId="10" fillId="14" borderId="7" xfId="0" applyFont="1" applyFill="1" applyBorder="1"/>
    <xf numFmtId="0" fontId="9" fillId="15" borderId="7" xfId="0" applyFont="1" applyFill="1" applyBorder="1"/>
    <xf numFmtId="0" fontId="10" fillId="15" borderId="7" xfId="0" applyFont="1" applyFill="1" applyBorder="1"/>
    <xf numFmtId="167" fontId="8" fillId="14" borderId="2" xfId="0" applyNumberFormat="1" applyFont="1" applyFill="1" applyBorder="1"/>
    <xf numFmtId="168" fontId="6" fillId="26" borderId="2" xfId="0" applyNumberFormat="1" applyFont="1" applyFill="1" applyBorder="1"/>
    <xf numFmtId="168" fontId="6" fillId="13" borderId="2" xfId="2" applyNumberFormat="1" applyFont="1" applyFill="1" applyBorder="1"/>
    <xf numFmtId="0" fontId="6" fillId="19" borderId="2" xfId="0" applyFont="1" applyFill="1" applyBorder="1" applyAlignment="1">
      <alignment horizontal="center"/>
    </xf>
    <xf numFmtId="0" fontId="6" fillId="27" borderId="2" xfId="0" applyFont="1" applyFill="1" applyBorder="1"/>
    <xf numFmtId="0" fontId="6" fillId="28" borderId="6" xfId="0" applyFont="1" applyFill="1" applyBorder="1" applyAlignment="1">
      <alignment horizontal="center" vertical="center"/>
    </xf>
    <xf numFmtId="0" fontId="9" fillId="28" borderId="0" xfId="0" applyFont="1" applyFill="1"/>
    <xf numFmtId="0" fontId="10" fillId="28" borderId="0" xfId="0" applyFont="1" applyFill="1"/>
    <xf numFmtId="0" fontId="9" fillId="29" borderId="0" xfId="0" applyFont="1" applyFill="1"/>
    <xf numFmtId="0" fontId="10" fillId="29" borderId="0" xfId="0" applyFont="1" applyFill="1"/>
    <xf numFmtId="0" fontId="9" fillId="30" borderId="0" xfId="0" applyFont="1" applyFill="1"/>
    <xf numFmtId="0" fontId="10" fillId="30" borderId="0" xfId="0" applyFont="1" applyFill="1"/>
    <xf numFmtId="0" fontId="9" fillId="26" borderId="0" xfId="0" applyFont="1" applyFill="1"/>
    <xf numFmtId="0" fontId="10" fillId="26" borderId="0" xfId="0" applyFont="1" applyFill="1"/>
    <xf numFmtId="0" fontId="6" fillId="20" borderId="2" xfId="0" applyFont="1" applyFill="1" applyBorder="1"/>
    <xf numFmtId="0" fontId="6" fillId="26" borderId="2" xfId="0" applyFont="1" applyFill="1" applyBorder="1"/>
    <xf numFmtId="0" fontId="6" fillId="29" borderId="2" xfId="0" applyFont="1" applyFill="1" applyBorder="1"/>
    <xf numFmtId="43" fontId="6" fillId="31" borderId="2" xfId="1" applyNumberFormat="1" applyFont="1" applyFill="1" applyBorder="1"/>
    <xf numFmtId="43" fontId="6" fillId="28" borderId="2" xfId="0" applyNumberFormat="1" applyFont="1" applyFill="1" applyBorder="1"/>
    <xf numFmtId="0" fontId="6" fillId="31" borderId="2" xfId="0" applyFont="1" applyFill="1" applyBorder="1"/>
    <xf numFmtId="172" fontId="6" fillId="22" borderId="2" xfId="0" applyNumberFormat="1" applyFont="1" applyFill="1" applyBorder="1" applyAlignment="1">
      <alignment horizontal="center" vertical="center"/>
    </xf>
    <xf numFmtId="170" fontId="6" fillId="22" borderId="2" xfId="0" applyNumberFormat="1" applyFont="1" applyFill="1" applyBorder="1" applyAlignment="1">
      <alignment horizontal="center" vertical="center"/>
    </xf>
    <xf numFmtId="169" fontId="6" fillId="22" borderId="2" xfId="0" applyNumberFormat="1" applyFont="1" applyFill="1" applyBorder="1" applyAlignment="1">
      <alignment horizontal="center" vertical="center"/>
    </xf>
    <xf numFmtId="164" fontId="6" fillId="22" borderId="2" xfId="0" applyNumberFormat="1" applyFont="1" applyFill="1" applyBorder="1" applyAlignment="1">
      <alignment horizontal="center" vertical="center"/>
    </xf>
    <xf numFmtId="173" fontId="6" fillId="32" borderId="2" xfId="0" applyNumberFormat="1" applyFont="1" applyFill="1" applyBorder="1" applyAlignment="1">
      <alignment horizontal="center" vertical="center"/>
    </xf>
    <xf numFmtId="173" fontId="6" fillId="33" borderId="2" xfId="0" applyNumberFormat="1" applyFont="1" applyFill="1" applyBorder="1" applyAlignment="1">
      <alignment horizontal="center" vertical="center"/>
    </xf>
    <xf numFmtId="171" fontId="6" fillId="20" borderId="2" xfId="1" applyNumberFormat="1" applyFont="1" applyFill="1" applyBorder="1"/>
    <xf numFmtId="43" fontId="6" fillId="34" borderId="2" xfId="1" applyNumberFormat="1" applyFont="1" applyFill="1" applyBorder="1"/>
    <xf numFmtId="171" fontId="6" fillId="26" borderId="2" xfId="1" applyNumberFormat="1" applyFont="1" applyFill="1" applyBorder="1"/>
    <xf numFmtId="43" fontId="6" fillId="26" borderId="2" xfId="1" applyNumberFormat="1" applyFont="1" applyFill="1" applyBorder="1"/>
    <xf numFmtId="0" fontId="9" fillId="20" borderId="0" xfId="0" applyFont="1" applyFill="1"/>
    <xf numFmtId="0" fontId="10" fillId="20" borderId="0" xfId="0" applyFont="1" applyFill="1"/>
    <xf numFmtId="43" fontId="6" fillId="29" borderId="2" xfId="1" applyNumberFormat="1" applyFont="1" applyFill="1" applyBorder="1"/>
    <xf numFmtId="43" fontId="6" fillId="30" borderId="2" xfId="1" applyNumberFormat="1" applyFont="1" applyFill="1" applyBorder="1"/>
    <xf numFmtId="43" fontId="6" fillId="35" borderId="2" xfId="1" applyNumberFormat="1" applyFont="1" applyFill="1" applyBorder="1"/>
    <xf numFmtId="43" fontId="6" fillId="36" borderId="2" xfId="1" applyNumberFormat="1" applyFont="1" applyFill="1" applyBorder="1"/>
    <xf numFmtId="0" fontId="9" fillId="37" borderId="0" xfId="0" applyFont="1" applyFill="1"/>
    <xf numFmtId="0" fontId="10" fillId="37" borderId="0" xfId="0" applyFont="1" applyFill="1"/>
    <xf numFmtId="0" fontId="9" fillId="31" borderId="0" xfId="0" applyFont="1" applyFill="1"/>
    <xf numFmtId="0" fontId="10" fillId="31" borderId="0" xfId="0" applyFont="1" applyFill="1"/>
    <xf numFmtId="43" fontId="6" fillId="37" borderId="2" xfId="1" applyNumberFormat="1" applyFont="1" applyFill="1" applyBorder="1"/>
    <xf numFmtId="43" fontId="6" fillId="38" borderId="2" xfId="1" applyNumberFormat="1" applyFont="1" applyFill="1" applyBorder="1"/>
    <xf numFmtId="43" fontId="6" fillId="39" borderId="2" xfId="1" applyNumberFormat="1" applyFont="1" applyFill="1" applyBorder="1"/>
    <xf numFmtId="0" fontId="9" fillId="38" borderId="0" xfId="0" applyFont="1" applyFill="1"/>
    <xf numFmtId="0" fontId="10" fillId="38" borderId="0" xfId="0" applyFont="1" applyFill="1"/>
    <xf numFmtId="0" fontId="9" fillId="39" borderId="0" xfId="0" applyFont="1" applyFill="1"/>
    <xf numFmtId="0" fontId="10" fillId="39" borderId="0" xfId="0" applyFont="1" applyFill="1"/>
    <xf numFmtId="0" fontId="9" fillId="40" borderId="0" xfId="0" applyFont="1" applyFill="1"/>
    <xf numFmtId="0" fontId="10" fillId="40" borderId="0" xfId="0" applyFont="1" applyFill="1"/>
    <xf numFmtId="0" fontId="9" fillId="41" borderId="0" xfId="0" applyFont="1" applyFill="1"/>
    <xf numFmtId="0" fontId="10" fillId="41" borderId="0" xfId="0" applyFont="1" applyFill="1"/>
    <xf numFmtId="43" fontId="6" fillId="40" borderId="2" xfId="1" applyNumberFormat="1" applyFont="1" applyFill="1" applyBorder="1"/>
    <xf numFmtId="0" fontId="6" fillId="41" borderId="2" xfId="0" applyFont="1" applyFill="1" applyBorder="1"/>
    <xf numFmtId="175" fontId="6" fillId="41" borderId="2" xfId="1" applyNumberFormat="1" applyFont="1" applyFill="1" applyBorder="1"/>
    <xf numFmtId="174" fontId="6" fillId="41" borderId="2" xfId="0" applyNumberFormat="1" applyFont="1" applyFill="1" applyBorder="1"/>
    <xf numFmtId="43" fontId="6" fillId="42" borderId="2" xfId="0" applyNumberFormat="1" applyFont="1" applyFill="1" applyBorder="1"/>
    <xf numFmtId="0" fontId="6" fillId="43" borderId="2" xfId="0" applyFont="1" applyFill="1" applyBorder="1"/>
    <xf numFmtId="43" fontId="6" fillId="43" borderId="2" xfId="0" applyNumberFormat="1" applyFont="1" applyFill="1" applyBorder="1"/>
    <xf numFmtId="4" fontId="6" fillId="44" borderId="2" xfId="0" applyNumberFormat="1" applyFont="1" applyFill="1" applyBorder="1"/>
    <xf numFmtId="0" fontId="6" fillId="44" borderId="2" xfId="0" applyFont="1" applyFill="1" applyBorder="1"/>
    <xf numFmtId="0" fontId="9" fillId="42" borderId="0" xfId="0" applyFont="1" applyFill="1"/>
    <xf numFmtId="0" fontId="10" fillId="42" borderId="0" xfId="0" applyFont="1" applyFill="1"/>
    <xf numFmtId="0" fontId="9" fillId="43" borderId="0" xfId="0" applyFont="1" applyFill="1"/>
    <xf numFmtId="0" fontId="10" fillId="43" borderId="0" xfId="0" applyFont="1" applyFill="1"/>
    <xf numFmtId="0" fontId="9" fillId="44" borderId="0" xfId="0" applyFont="1" applyFill="1"/>
    <xf numFmtId="0" fontId="10" fillId="44" borderId="0" xfId="0" applyFont="1" applyFill="1"/>
    <xf numFmtId="0" fontId="5" fillId="2" borderId="0" xfId="0" applyFont="1" applyFill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center" wrapText="1"/>
    </xf>
    <xf numFmtId="0" fontId="9" fillId="6" borderId="11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9" fontId="24" fillId="4" borderId="2" xfId="0" applyNumberFormat="1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A2:E113"/>
  <sheetViews>
    <sheetView workbookViewId="0"/>
  </sheetViews>
  <sheetFormatPr defaultRowHeight="14.25" x14ac:dyDescent="0.2"/>
  <cols>
    <col min="1" max="1" width="5.42578125" style="1" customWidth="1"/>
    <col min="2" max="2" width="9.140625" style="1"/>
    <col min="3" max="3" width="11.5703125" style="1" customWidth="1"/>
    <col min="4" max="4" width="9.140625" style="1"/>
    <col min="5" max="5" width="14.140625" style="1" customWidth="1"/>
    <col min="6" max="16384" width="9.140625" style="1"/>
  </cols>
  <sheetData>
    <row r="2" spans="1:5" s="2" customFormat="1" ht="25.5" x14ac:dyDescent="0.35">
      <c r="A2" s="3" t="s">
        <v>0</v>
      </c>
    </row>
    <row r="4" spans="1:5" ht="15" x14ac:dyDescent="0.2">
      <c r="B4" s="232" t="s">
        <v>1</v>
      </c>
      <c r="C4" s="232"/>
      <c r="D4" s="232" t="s">
        <v>2</v>
      </c>
      <c r="E4" s="232"/>
    </row>
    <row r="5" spans="1:5" x14ac:dyDescent="0.2">
      <c r="B5" s="4"/>
      <c r="C5" s="4"/>
      <c r="D5" s="4"/>
      <c r="E5" s="4"/>
    </row>
    <row r="6" spans="1:5" x14ac:dyDescent="0.2">
      <c r="B6" s="5" t="s">
        <v>3</v>
      </c>
      <c r="C6" s="5" t="s">
        <v>4</v>
      </c>
      <c r="D6" s="5" t="s">
        <v>5</v>
      </c>
      <c r="E6" s="5" t="s">
        <v>6</v>
      </c>
    </row>
    <row r="7" spans="1:5" x14ac:dyDescent="0.2">
      <c r="B7" s="6">
        <v>16</v>
      </c>
      <c r="C7" s="111">
        <v>3.7500000000000001E-4</v>
      </c>
      <c r="D7" s="6">
        <v>16</v>
      </c>
      <c r="E7" s="111">
        <v>2.0000000000000001E-4</v>
      </c>
    </row>
    <row r="8" spans="1:5" x14ac:dyDescent="0.2">
      <c r="B8" s="6">
        <v>17</v>
      </c>
      <c r="C8" s="111">
        <v>4.08E-4</v>
      </c>
      <c r="D8" s="6">
        <v>17</v>
      </c>
      <c r="E8" s="111">
        <v>2.5500000000000002E-4</v>
      </c>
    </row>
    <row r="9" spans="1:5" x14ac:dyDescent="0.2">
      <c r="B9" s="6">
        <v>18</v>
      </c>
      <c r="C9" s="111">
        <v>4.44E-4</v>
      </c>
      <c r="D9" s="6">
        <v>18</v>
      </c>
      <c r="E9" s="111">
        <v>3.1300000000000002E-4</v>
      </c>
    </row>
    <row r="10" spans="1:5" x14ac:dyDescent="0.2">
      <c r="B10" s="6">
        <v>19</v>
      </c>
      <c r="C10" s="111">
        <v>4.8500000000000003E-4</v>
      </c>
      <c r="D10" s="6">
        <v>19</v>
      </c>
      <c r="E10" s="111">
        <v>3.7399999999999998E-4</v>
      </c>
    </row>
    <row r="11" spans="1:5" x14ac:dyDescent="0.2">
      <c r="B11" s="6">
        <v>20</v>
      </c>
      <c r="C11" s="111">
        <v>5.31E-4</v>
      </c>
      <c r="D11" s="6">
        <v>20</v>
      </c>
      <c r="E11" s="111">
        <v>4.3800000000000002E-4</v>
      </c>
    </row>
    <row r="12" spans="1:5" x14ac:dyDescent="0.2">
      <c r="B12" s="6">
        <v>21</v>
      </c>
      <c r="C12" s="111">
        <v>5.8100000000000003E-4</v>
      </c>
      <c r="D12" s="6">
        <v>21</v>
      </c>
      <c r="E12" s="111">
        <v>5.0500000000000002E-4</v>
      </c>
    </row>
    <row r="13" spans="1:5" x14ac:dyDescent="0.2">
      <c r="B13" s="6">
        <v>22</v>
      </c>
      <c r="C13" s="111">
        <v>6.38E-4</v>
      </c>
      <c r="D13" s="6">
        <v>22</v>
      </c>
      <c r="E13" s="111">
        <v>5.7600000000000001E-4</v>
      </c>
    </row>
    <row r="14" spans="1:5" x14ac:dyDescent="0.2">
      <c r="B14" s="6">
        <v>23</v>
      </c>
      <c r="C14" s="111">
        <v>6.9999999999999999E-4</v>
      </c>
      <c r="D14" s="6">
        <v>23</v>
      </c>
      <c r="E14" s="111">
        <v>6.4899999999999995E-4</v>
      </c>
    </row>
    <row r="15" spans="1:5" x14ac:dyDescent="0.2">
      <c r="B15" s="6">
        <v>24</v>
      </c>
      <c r="C15" s="111">
        <v>7.6800000000000002E-4</v>
      </c>
      <c r="D15" s="6">
        <v>24</v>
      </c>
      <c r="E15" s="111">
        <v>7.2599999999999997E-4</v>
      </c>
    </row>
    <row r="16" spans="1:5" x14ac:dyDescent="0.2">
      <c r="B16" s="6">
        <v>25</v>
      </c>
      <c r="C16" s="111">
        <v>8.4400000000000002E-4</v>
      </c>
      <c r="D16" s="6">
        <v>25</v>
      </c>
      <c r="E16" s="111">
        <v>8.0599999999999997E-4</v>
      </c>
    </row>
    <row r="17" spans="2:5" x14ac:dyDescent="0.2">
      <c r="B17" s="6">
        <v>26</v>
      </c>
      <c r="C17" s="111">
        <v>9.2599999999999996E-4</v>
      </c>
      <c r="D17" s="6">
        <v>26</v>
      </c>
      <c r="E17" s="111">
        <v>8.8900000000000003E-4</v>
      </c>
    </row>
    <row r="18" spans="2:5" x14ac:dyDescent="0.2">
      <c r="B18" s="6">
        <v>27</v>
      </c>
      <c r="C18" s="111">
        <v>1.016E-3</v>
      </c>
      <c r="D18" s="6">
        <v>27</v>
      </c>
      <c r="E18" s="111">
        <v>9.7599999999999998E-4</v>
      </c>
    </row>
    <row r="19" spans="2:5" x14ac:dyDescent="0.2">
      <c r="B19" s="6">
        <v>28</v>
      </c>
      <c r="C19" s="111">
        <v>1.114E-3</v>
      </c>
      <c r="D19" s="6">
        <v>28</v>
      </c>
      <c r="E19" s="111">
        <v>1.065E-3</v>
      </c>
    </row>
    <row r="20" spans="2:5" x14ac:dyDescent="0.2">
      <c r="B20" s="6">
        <v>29</v>
      </c>
      <c r="C20" s="111">
        <v>1.2210000000000001E-3</v>
      </c>
      <c r="D20" s="6">
        <v>29</v>
      </c>
      <c r="E20" s="111">
        <v>1.158E-3</v>
      </c>
    </row>
    <row r="21" spans="2:5" x14ac:dyDescent="0.2">
      <c r="B21" s="6">
        <v>30</v>
      </c>
      <c r="C21" s="111">
        <v>1.3359999999999999E-3</v>
      </c>
      <c r="D21" s="6">
        <v>30</v>
      </c>
      <c r="E21" s="111">
        <v>1.253E-3</v>
      </c>
    </row>
    <row r="22" spans="2:5" x14ac:dyDescent="0.2">
      <c r="B22" s="6">
        <v>31</v>
      </c>
      <c r="C22" s="111">
        <v>1.4610000000000001E-3</v>
      </c>
      <c r="D22" s="6">
        <v>31</v>
      </c>
      <c r="E22" s="111">
        <v>1.351E-3</v>
      </c>
    </row>
    <row r="23" spans="2:5" x14ac:dyDescent="0.2">
      <c r="B23" s="6">
        <v>32</v>
      </c>
      <c r="C23" s="111">
        <v>1.5950000000000001E-3</v>
      </c>
      <c r="D23" s="6">
        <v>32</v>
      </c>
      <c r="E23" s="111">
        <v>1.451E-3</v>
      </c>
    </row>
    <row r="24" spans="2:5" x14ac:dyDescent="0.2">
      <c r="B24" s="6">
        <v>33</v>
      </c>
      <c r="C24" s="111">
        <v>1.738E-3</v>
      </c>
      <c r="D24" s="6">
        <v>33</v>
      </c>
      <c r="E24" s="111">
        <v>1.554E-3</v>
      </c>
    </row>
    <row r="25" spans="2:5" x14ac:dyDescent="0.2">
      <c r="B25" s="6">
        <v>34</v>
      </c>
      <c r="C25" s="111">
        <v>1.892E-3</v>
      </c>
      <c r="D25" s="6">
        <v>34</v>
      </c>
      <c r="E25" s="111">
        <v>1.6590000000000001E-3</v>
      </c>
    </row>
    <row r="26" spans="2:5" x14ac:dyDescent="0.2">
      <c r="B26" s="6">
        <v>35</v>
      </c>
      <c r="C26" s="111">
        <v>2.055E-3</v>
      </c>
      <c r="D26" s="6">
        <v>35</v>
      </c>
      <c r="E26" s="111">
        <v>1.766E-3</v>
      </c>
    </row>
    <row r="27" spans="2:5" x14ac:dyDescent="0.2">
      <c r="B27" s="6">
        <v>36</v>
      </c>
      <c r="C27" s="111">
        <v>2.2279999999999999E-3</v>
      </c>
      <c r="D27" s="6">
        <v>36</v>
      </c>
      <c r="E27" s="111">
        <v>1.874E-3</v>
      </c>
    </row>
    <row r="28" spans="2:5" x14ac:dyDescent="0.2">
      <c r="B28" s="6">
        <v>37</v>
      </c>
      <c r="C28" s="111">
        <v>2.4120000000000001E-3</v>
      </c>
      <c r="D28" s="6">
        <v>37</v>
      </c>
      <c r="E28" s="111">
        <v>1.9840000000000001E-3</v>
      </c>
    </row>
    <row r="29" spans="2:5" x14ac:dyDescent="0.2">
      <c r="B29" s="6">
        <v>38</v>
      </c>
      <c r="C29" s="111">
        <v>2.6050000000000001E-3</v>
      </c>
      <c r="D29" s="6">
        <v>38</v>
      </c>
      <c r="E29" s="111">
        <v>2.0960000000000002E-3</v>
      </c>
    </row>
    <row r="30" spans="2:5" x14ac:dyDescent="0.2">
      <c r="B30" s="6">
        <v>39</v>
      </c>
      <c r="C30" s="111">
        <v>2.8080000000000002E-3</v>
      </c>
      <c r="D30" s="6">
        <v>39</v>
      </c>
      <c r="E30" s="111">
        <v>2.2079999999999999E-3</v>
      </c>
    </row>
    <row r="31" spans="2:5" x14ac:dyDescent="0.2">
      <c r="B31" s="6">
        <v>40</v>
      </c>
      <c r="C31" s="111">
        <v>3.0200000000000001E-3</v>
      </c>
      <c r="D31" s="6">
        <v>40</v>
      </c>
      <c r="E31" s="111">
        <v>2.3210000000000001E-3</v>
      </c>
    </row>
    <row r="32" spans="2:5" x14ac:dyDescent="0.2">
      <c r="B32" s="6">
        <v>41</v>
      </c>
      <c r="C32" s="111">
        <v>3.2420000000000001E-3</v>
      </c>
      <c r="D32" s="6">
        <v>41</v>
      </c>
      <c r="E32" s="111">
        <v>2.4350000000000001E-3</v>
      </c>
    </row>
    <row r="33" spans="2:5" x14ac:dyDescent="0.2">
      <c r="B33" s="6">
        <v>42</v>
      </c>
      <c r="C33" s="111">
        <v>3.473E-3</v>
      </c>
      <c r="D33" s="6">
        <v>42</v>
      </c>
      <c r="E33" s="111">
        <v>2.5479999999999999E-3</v>
      </c>
    </row>
    <row r="34" spans="2:5" x14ac:dyDescent="0.2">
      <c r="B34" s="6">
        <v>43</v>
      </c>
      <c r="C34" s="111">
        <v>3.7109999999999999E-3</v>
      </c>
      <c r="D34" s="6">
        <v>43</v>
      </c>
      <c r="E34" s="111">
        <v>2.6610000000000002E-3</v>
      </c>
    </row>
    <row r="35" spans="2:5" x14ac:dyDescent="0.2">
      <c r="B35" s="6">
        <v>44</v>
      </c>
      <c r="C35" s="111">
        <v>3.9569999999999996E-3</v>
      </c>
      <c r="D35" s="6">
        <v>44</v>
      </c>
      <c r="E35" s="111">
        <v>2.774E-3</v>
      </c>
    </row>
    <row r="36" spans="2:5" x14ac:dyDescent="0.2">
      <c r="B36" s="6">
        <v>45</v>
      </c>
      <c r="C36" s="111">
        <v>4.2100000000000002E-3</v>
      </c>
      <c r="D36" s="6">
        <v>45</v>
      </c>
      <c r="E36" s="111">
        <v>2.8869999999999998E-3</v>
      </c>
    </row>
    <row r="37" spans="2:5" x14ac:dyDescent="0.2">
      <c r="B37" s="6">
        <v>46</v>
      </c>
      <c r="C37" s="111">
        <v>4.4689999999999999E-3</v>
      </c>
      <c r="D37" s="6">
        <v>46</v>
      </c>
      <c r="E37" s="111">
        <v>3.0119999999999999E-3</v>
      </c>
    </row>
    <row r="38" spans="2:5" x14ac:dyDescent="0.2">
      <c r="B38" s="6">
        <v>47</v>
      </c>
      <c r="C38" s="111">
        <v>4.7320000000000001E-3</v>
      </c>
      <c r="D38" s="6">
        <v>47</v>
      </c>
      <c r="E38" s="111">
        <v>3.15E-3</v>
      </c>
    </row>
    <row r="39" spans="2:5" x14ac:dyDescent="0.2">
      <c r="B39" s="6">
        <v>48</v>
      </c>
      <c r="C39" s="111">
        <v>5.0000000000000001E-3</v>
      </c>
      <c r="D39" s="6">
        <v>48</v>
      </c>
      <c r="E39" s="111">
        <v>3.3050000000000002E-3</v>
      </c>
    </row>
    <row r="40" spans="2:5" x14ac:dyDescent="0.2">
      <c r="B40" s="6">
        <v>49</v>
      </c>
      <c r="C40" s="111">
        <v>5.2690000000000002E-3</v>
      </c>
      <c r="D40" s="6">
        <v>49</v>
      </c>
      <c r="E40" s="111">
        <v>3.4780000000000002E-3</v>
      </c>
    </row>
    <row r="41" spans="2:5" x14ac:dyDescent="0.2">
      <c r="B41" s="6">
        <v>50</v>
      </c>
      <c r="C41" s="111">
        <v>5.5409999999999999E-3</v>
      </c>
      <c r="D41" s="6">
        <v>50</v>
      </c>
      <c r="E41" s="111">
        <v>3.6719999999999999E-3</v>
      </c>
    </row>
    <row r="42" spans="2:5" x14ac:dyDescent="0.2">
      <c r="B42" s="6">
        <v>51</v>
      </c>
      <c r="C42" s="111">
        <v>5.8120000000000003E-3</v>
      </c>
      <c r="D42" s="6">
        <v>51</v>
      </c>
      <c r="E42" s="111">
        <v>3.8869999999999998E-3</v>
      </c>
    </row>
    <row r="43" spans="2:5" x14ac:dyDescent="0.2">
      <c r="B43" s="6">
        <v>52</v>
      </c>
      <c r="C43" s="111">
        <v>6.0819999999999997E-3</v>
      </c>
      <c r="D43" s="6">
        <v>52</v>
      </c>
      <c r="E43" s="111">
        <v>4.1279999999999997E-3</v>
      </c>
    </row>
    <row r="44" spans="2:5" x14ac:dyDescent="0.2">
      <c r="B44" s="6">
        <v>53</v>
      </c>
      <c r="C44" s="111">
        <v>6.3489999999999996E-3</v>
      </c>
      <c r="D44" s="6">
        <v>53</v>
      </c>
      <c r="E44" s="111">
        <v>4.3959999999999997E-3</v>
      </c>
    </row>
    <row r="45" spans="2:5" x14ac:dyDescent="0.2">
      <c r="B45" s="6">
        <v>54</v>
      </c>
      <c r="C45" s="111">
        <v>6.6119999999999998E-3</v>
      </c>
      <c r="D45" s="6">
        <v>54</v>
      </c>
      <c r="E45" s="111">
        <v>4.6959999999999997E-3</v>
      </c>
    </row>
    <row r="46" spans="2:5" x14ac:dyDescent="0.2">
      <c r="B46" s="6">
        <v>55</v>
      </c>
      <c r="C46" s="111">
        <v>6.8789999999999997E-3</v>
      </c>
      <c r="D46" s="6">
        <v>55</v>
      </c>
      <c r="E46" s="111">
        <v>5.0299999999999997E-3</v>
      </c>
    </row>
    <row r="47" spans="2:5" x14ac:dyDescent="0.2">
      <c r="B47" s="6">
        <v>56</v>
      </c>
      <c r="C47" s="111">
        <v>7.1929999999999997E-3</v>
      </c>
      <c r="D47" s="6">
        <v>56</v>
      </c>
      <c r="E47" s="111">
        <v>5.4029999999999998E-3</v>
      </c>
    </row>
    <row r="48" spans="2:5" x14ac:dyDescent="0.2">
      <c r="B48" s="6">
        <v>57</v>
      </c>
      <c r="C48" s="111">
        <v>7.574E-3</v>
      </c>
      <c r="D48" s="6">
        <v>57</v>
      </c>
      <c r="E48" s="111">
        <v>5.8190000000000004E-3</v>
      </c>
    </row>
    <row r="49" spans="2:5" x14ac:dyDescent="0.2">
      <c r="B49" s="6">
        <v>58</v>
      </c>
      <c r="C49" s="111">
        <v>8.0319999999999992E-3</v>
      </c>
      <c r="D49" s="6">
        <v>58</v>
      </c>
      <c r="E49" s="111">
        <v>6.2839999999999997E-3</v>
      </c>
    </row>
    <row r="50" spans="2:5" x14ac:dyDescent="0.2">
      <c r="B50" s="6">
        <v>59</v>
      </c>
      <c r="C50" s="111">
        <v>8.5800000000000008E-3</v>
      </c>
      <c r="D50" s="6">
        <v>59</v>
      </c>
      <c r="E50" s="111">
        <v>6.8019999999999999E-3</v>
      </c>
    </row>
    <row r="51" spans="2:5" x14ac:dyDescent="0.2">
      <c r="B51" s="6">
        <v>60</v>
      </c>
      <c r="C51" s="111">
        <v>9.2309999999999996E-3</v>
      </c>
      <c r="D51" s="6">
        <v>60</v>
      </c>
      <c r="E51" s="111">
        <v>7.3800000000000003E-3</v>
      </c>
    </row>
    <row r="52" spans="2:5" x14ac:dyDescent="0.2">
      <c r="B52" s="6">
        <v>61</v>
      </c>
      <c r="C52" s="111">
        <v>9.9989999999999992E-3</v>
      </c>
      <c r="D52" s="6">
        <v>61</v>
      </c>
      <c r="E52" s="111">
        <v>8.0249999999999991E-3</v>
      </c>
    </row>
    <row r="53" spans="2:5" x14ac:dyDescent="0.2">
      <c r="B53" s="6">
        <v>62</v>
      </c>
      <c r="C53" s="111">
        <v>1.0900999999999999E-2</v>
      </c>
      <c r="D53" s="6">
        <v>62</v>
      </c>
      <c r="E53" s="111">
        <v>8.7449999999999993E-3</v>
      </c>
    </row>
    <row r="54" spans="2:5" x14ac:dyDescent="0.2">
      <c r="B54" s="6">
        <v>63</v>
      </c>
      <c r="C54" s="111">
        <v>1.1953E-2</v>
      </c>
      <c r="D54" s="6">
        <v>63</v>
      </c>
      <c r="E54" s="111">
        <v>9.5479999999999992E-3</v>
      </c>
    </row>
    <row r="55" spans="2:5" x14ac:dyDescent="0.2">
      <c r="B55" s="6">
        <v>64</v>
      </c>
      <c r="C55" s="111">
        <v>1.3174E-2</v>
      </c>
      <c r="D55" s="6">
        <v>64</v>
      </c>
      <c r="E55" s="111">
        <v>1.0442999999999999E-2</v>
      </c>
    </row>
    <row r="56" spans="2:5" x14ac:dyDescent="0.2">
      <c r="B56" s="6">
        <v>65</v>
      </c>
      <c r="C56" s="111">
        <v>1.4584E-2</v>
      </c>
      <c r="D56" s="6">
        <v>65</v>
      </c>
      <c r="E56" s="111">
        <v>1.1442000000000001E-2</v>
      </c>
    </row>
    <row r="57" spans="2:5" x14ac:dyDescent="0.2">
      <c r="B57" s="6">
        <v>66</v>
      </c>
      <c r="C57" s="111">
        <v>1.6202000000000001E-2</v>
      </c>
      <c r="D57" s="6">
        <v>66</v>
      </c>
      <c r="E57" s="111">
        <v>1.2555E-2</v>
      </c>
    </row>
    <row r="58" spans="2:5" x14ac:dyDescent="0.2">
      <c r="B58" s="6">
        <v>67</v>
      </c>
      <c r="C58" s="111">
        <v>1.8051000000000001E-2</v>
      </c>
      <c r="D58" s="6">
        <v>67</v>
      </c>
      <c r="E58" s="111">
        <v>1.3797E-2</v>
      </c>
    </row>
    <row r="59" spans="2:5" x14ac:dyDescent="0.2">
      <c r="B59" s="6">
        <v>68</v>
      </c>
      <c r="C59" s="111">
        <v>2.0152E-2</v>
      </c>
      <c r="D59" s="6">
        <v>68</v>
      </c>
      <c r="E59" s="111">
        <v>1.5181E-2</v>
      </c>
    </row>
    <row r="60" spans="2:5" x14ac:dyDescent="0.2">
      <c r="B60" s="6">
        <v>69</v>
      </c>
      <c r="C60" s="111">
        <v>2.2530000000000001E-2</v>
      </c>
      <c r="D60" s="6">
        <v>69</v>
      </c>
      <c r="E60" s="111">
        <v>1.6723999999999999E-2</v>
      </c>
    </row>
    <row r="61" spans="2:5" x14ac:dyDescent="0.2">
      <c r="B61" s="6">
        <v>70</v>
      </c>
      <c r="C61" s="111">
        <v>2.5208999999999999E-2</v>
      </c>
      <c r="D61" s="6">
        <v>70</v>
      </c>
      <c r="E61" s="111">
        <v>1.8443000000000001E-2</v>
      </c>
    </row>
    <row r="62" spans="2:5" x14ac:dyDescent="0.2">
      <c r="B62" s="6">
        <v>71</v>
      </c>
      <c r="C62" s="111">
        <v>2.8212999999999998E-2</v>
      </c>
      <c r="D62" s="6">
        <v>71</v>
      </c>
      <c r="E62" s="111">
        <v>2.0358999999999999E-2</v>
      </c>
    </row>
    <row r="63" spans="2:5" x14ac:dyDescent="0.2">
      <c r="B63" s="6">
        <v>72</v>
      </c>
      <c r="C63" s="111">
        <v>3.1569E-2</v>
      </c>
      <c r="D63" s="6">
        <v>72</v>
      </c>
      <c r="E63" s="111">
        <v>2.2494E-2</v>
      </c>
    </row>
    <row r="64" spans="2:5" x14ac:dyDescent="0.2">
      <c r="B64" s="6">
        <v>73</v>
      </c>
      <c r="C64" s="111">
        <v>3.5303000000000001E-2</v>
      </c>
      <c r="D64" s="6">
        <v>73</v>
      </c>
      <c r="E64" s="111">
        <v>2.4871000000000001E-2</v>
      </c>
    </row>
    <row r="65" spans="2:5" x14ac:dyDescent="0.2">
      <c r="B65" s="6">
        <v>74</v>
      </c>
      <c r="C65" s="111">
        <v>3.9441999999999998E-2</v>
      </c>
      <c r="D65" s="6">
        <v>74</v>
      </c>
      <c r="E65" s="111">
        <v>2.7518000000000001E-2</v>
      </c>
    </row>
    <row r="66" spans="2:5" x14ac:dyDescent="0.2">
      <c r="B66" s="6">
        <v>75</v>
      </c>
      <c r="C66" s="111">
        <v>4.4014999999999999E-2</v>
      </c>
      <c r="D66" s="6">
        <v>75</v>
      </c>
      <c r="E66" s="111">
        <v>3.0464999999999999E-2</v>
      </c>
    </row>
    <row r="67" spans="2:5" x14ac:dyDescent="0.2">
      <c r="B67" s="6">
        <v>76</v>
      </c>
      <c r="C67" s="111">
        <v>4.9049000000000002E-2</v>
      </c>
      <c r="D67" s="6">
        <v>76</v>
      </c>
      <c r="E67" s="111">
        <v>3.3743000000000002E-2</v>
      </c>
    </row>
    <row r="68" spans="2:5" x14ac:dyDescent="0.2">
      <c r="B68" s="6">
        <v>77</v>
      </c>
      <c r="C68" s="111">
        <v>5.4574999999999999E-2</v>
      </c>
      <c r="D68" s="6">
        <v>77</v>
      </c>
      <c r="E68" s="111">
        <v>3.739E-2</v>
      </c>
    </row>
    <row r="69" spans="2:5" x14ac:dyDescent="0.2">
      <c r="B69" s="6">
        <v>78</v>
      </c>
      <c r="C69" s="111">
        <v>6.0621000000000001E-2</v>
      </c>
      <c r="D69" s="6">
        <v>78</v>
      </c>
      <c r="E69" s="111">
        <v>4.1445000000000003E-2</v>
      </c>
    </row>
    <row r="70" spans="2:5" x14ac:dyDescent="0.2">
      <c r="B70" s="6">
        <v>79</v>
      </c>
      <c r="C70" s="111">
        <v>6.7221000000000003E-2</v>
      </c>
      <c r="D70" s="6">
        <v>79</v>
      </c>
      <c r="E70" s="111">
        <v>4.5950999999999999E-2</v>
      </c>
    </row>
    <row r="71" spans="2:5" x14ac:dyDescent="0.2">
      <c r="B71" s="6">
        <v>80</v>
      </c>
      <c r="C71" s="111">
        <v>7.4406E-2</v>
      </c>
      <c r="D71" s="6">
        <v>80</v>
      </c>
      <c r="E71" s="111">
        <v>5.0957000000000002E-2</v>
      </c>
    </row>
    <row r="72" spans="2:5" x14ac:dyDescent="0.2">
      <c r="B72" s="6">
        <v>81</v>
      </c>
      <c r="C72" s="111">
        <v>8.2209000000000004E-2</v>
      </c>
      <c r="D72" s="6">
        <v>81</v>
      </c>
      <c r="E72" s="111">
        <v>5.6514000000000002E-2</v>
      </c>
    </row>
    <row r="73" spans="2:5" x14ac:dyDescent="0.2">
      <c r="B73" s="6">
        <v>82</v>
      </c>
      <c r="C73" s="111">
        <v>9.0666999999999998E-2</v>
      </c>
      <c r="D73" s="6">
        <v>82</v>
      </c>
      <c r="E73" s="111">
        <v>6.2678999999999999E-2</v>
      </c>
    </row>
    <row r="74" spans="2:5" x14ac:dyDescent="0.2">
      <c r="B74" s="6">
        <v>83</v>
      </c>
      <c r="C74" s="111">
        <v>9.9816000000000002E-2</v>
      </c>
      <c r="D74" s="6">
        <v>83</v>
      </c>
      <c r="E74" s="111">
        <v>6.9513000000000005E-2</v>
      </c>
    </row>
    <row r="75" spans="2:5" x14ac:dyDescent="0.2">
      <c r="B75" s="6">
        <v>84</v>
      </c>
      <c r="C75" s="111">
        <v>0.109695</v>
      </c>
      <c r="D75" s="6">
        <v>84</v>
      </c>
      <c r="E75" s="111">
        <v>7.7084E-2</v>
      </c>
    </row>
    <row r="76" spans="2:5" x14ac:dyDescent="0.2">
      <c r="B76" s="6">
        <v>85</v>
      </c>
      <c r="C76" s="111">
        <v>0.12034599999999999</v>
      </c>
      <c r="D76" s="6">
        <v>85</v>
      </c>
      <c r="E76" s="111">
        <v>8.5461999999999996E-2</v>
      </c>
    </row>
    <row r="77" spans="2:5" x14ac:dyDescent="0.2">
      <c r="B77" s="6">
        <v>86</v>
      </c>
      <c r="C77" s="111">
        <v>0.13181300000000001</v>
      </c>
      <c r="D77" s="6">
        <v>86</v>
      </c>
      <c r="E77" s="111">
        <v>9.4726000000000005E-2</v>
      </c>
    </row>
    <row r="78" spans="2:5" x14ac:dyDescent="0.2">
      <c r="B78" s="6">
        <v>87</v>
      </c>
      <c r="C78" s="111">
        <v>0.14414199999999999</v>
      </c>
      <c r="D78" s="6">
        <v>87</v>
      </c>
      <c r="E78" s="111">
        <v>0.10495599999999999</v>
      </c>
    </row>
    <row r="79" spans="2:5" x14ac:dyDescent="0.2">
      <c r="B79" s="6">
        <v>88</v>
      </c>
      <c r="C79" s="111">
        <v>0.157384</v>
      </c>
      <c r="D79" s="6">
        <v>88</v>
      </c>
      <c r="E79" s="111">
        <v>0.11624</v>
      </c>
    </row>
    <row r="80" spans="2:5" x14ac:dyDescent="0.2">
      <c r="B80" s="6">
        <v>89</v>
      </c>
      <c r="C80" s="111">
        <v>0.17159099999999999</v>
      </c>
      <c r="D80" s="6">
        <v>89</v>
      </c>
      <c r="E80" s="111">
        <v>0.128668</v>
      </c>
    </row>
    <row r="81" spans="2:5" x14ac:dyDescent="0.2">
      <c r="B81" s="6">
        <v>90</v>
      </c>
      <c r="C81" s="111">
        <v>0.18682099999999999</v>
      </c>
      <c r="D81" s="6">
        <v>90</v>
      </c>
      <c r="E81" s="111">
        <v>0.14233599999999999</v>
      </c>
    </row>
    <row r="82" spans="2:5" x14ac:dyDescent="0.2">
      <c r="B82" s="6">
        <v>91</v>
      </c>
      <c r="C82" s="111">
        <v>0.20313100000000001</v>
      </c>
      <c r="D82" s="6">
        <v>91</v>
      </c>
      <c r="E82" s="111">
        <v>0.15734000000000001</v>
      </c>
    </row>
    <row r="83" spans="2:5" x14ac:dyDescent="0.2">
      <c r="B83" s="6">
        <v>92</v>
      </c>
      <c r="C83" s="111">
        <v>0.22058700000000001</v>
      </c>
      <c r="D83" s="6">
        <v>92</v>
      </c>
      <c r="E83" s="111">
        <v>0.17377999999999999</v>
      </c>
    </row>
    <row r="84" spans="2:5" x14ac:dyDescent="0.2">
      <c r="B84" s="6">
        <v>93</v>
      </c>
      <c r="C84" s="111">
        <v>0.23925099999999999</v>
      </c>
      <c r="D84" s="6">
        <v>93</v>
      </c>
      <c r="E84" s="111">
        <v>0.19175400000000001</v>
      </c>
    </row>
    <row r="85" spans="2:5" x14ac:dyDescent="0.2">
      <c r="B85" s="6">
        <v>94</v>
      </c>
      <c r="C85" s="111">
        <v>0.25919399999999998</v>
      </c>
      <c r="D85" s="6">
        <v>94</v>
      </c>
      <c r="E85" s="111">
        <v>0.21135699999999999</v>
      </c>
    </row>
    <row r="86" spans="2:5" x14ac:dyDescent="0.2">
      <c r="B86" s="6">
        <v>95</v>
      </c>
      <c r="C86" s="111">
        <v>0.28018199999999999</v>
      </c>
      <c r="D86" s="6">
        <v>95</v>
      </c>
      <c r="E86" s="111">
        <v>0.232435</v>
      </c>
    </row>
    <row r="87" spans="2:5" x14ac:dyDescent="0.2">
      <c r="B87" s="6">
        <v>96</v>
      </c>
      <c r="C87" s="111">
        <v>0.30105300000000002</v>
      </c>
      <c r="D87" s="6">
        <v>96</v>
      </c>
      <c r="E87" s="111">
        <v>0.25402000000000002</v>
      </c>
    </row>
    <row r="88" spans="2:5" x14ac:dyDescent="0.2">
      <c r="B88" s="6">
        <v>97</v>
      </c>
      <c r="C88" s="111">
        <v>0.32148199999999999</v>
      </c>
      <c r="D88" s="6">
        <v>97</v>
      </c>
      <c r="E88" s="111">
        <v>0.27574500000000002</v>
      </c>
    </row>
    <row r="89" spans="2:5" x14ac:dyDescent="0.2">
      <c r="B89" s="6">
        <v>98</v>
      </c>
      <c r="C89" s="111">
        <v>0.34143600000000002</v>
      </c>
      <c r="D89" s="6">
        <v>98</v>
      </c>
      <c r="E89" s="111">
        <v>0.29747800000000002</v>
      </c>
    </row>
    <row r="90" spans="2:5" x14ac:dyDescent="0.2">
      <c r="B90" s="6">
        <v>99</v>
      </c>
      <c r="C90" s="111">
        <v>0.36088599999999998</v>
      </c>
      <c r="D90" s="6">
        <v>99</v>
      </c>
      <c r="E90" s="111">
        <v>0.31909799999999999</v>
      </c>
    </row>
    <row r="91" spans="2:5" x14ac:dyDescent="0.2">
      <c r="B91" s="6">
        <v>100</v>
      </c>
      <c r="C91" s="111">
        <v>0.37980900000000001</v>
      </c>
      <c r="D91" s="6">
        <v>100</v>
      </c>
      <c r="E91" s="111">
        <v>0.34049400000000002</v>
      </c>
    </row>
    <row r="92" spans="2:5" x14ac:dyDescent="0.2">
      <c r="B92" s="6">
        <v>101</v>
      </c>
      <c r="C92" s="111">
        <v>0.39818300000000001</v>
      </c>
      <c r="D92" s="6">
        <v>101</v>
      </c>
      <c r="E92" s="111">
        <v>0.361568</v>
      </c>
    </row>
    <row r="93" spans="2:5" x14ac:dyDescent="0.2">
      <c r="B93" s="6">
        <v>102</v>
      </c>
      <c r="C93" s="111">
        <v>0.415993</v>
      </c>
      <c r="D93" s="6">
        <v>102</v>
      </c>
      <c r="E93" s="111">
        <v>0.38223400000000002</v>
      </c>
    </row>
    <row r="94" spans="2:5" x14ac:dyDescent="0.2">
      <c r="B94" s="6">
        <v>103</v>
      </c>
      <c r="C94" s="111">
        <v>0.43322500000000003</v>
      </c>
      <c r="D94" s="6">
        <v>103</v>
      </c>
      <c r="E94" s="111">
        <v>0.40241500000000002</v>
      </c>
    </row>
    <row r="95" spans="2:5" x14ac:dyDescent="0.2">
      <c r="B95" s="6">
        <v>104</v>
      </c>
      <c r="C95" s="111">
        <v>0.44986799999999999</v>
      </c>
      <c r="D95" s="6">
        <v>104</v>
      </c>
      <c r="E95" s="111">
        <v>0.422045</v>
      </c>
    </row>
    <row r="96" spans="2:5" x14ac:dyDescent="0.2">
      <c r="B96" s="6">
        <v>105</v>
      </c>
      <c r="C96" s="111">
        <v>0.465916</v>
      </c>
      <c r="D96" s="6">
        <v>105</v>
      </c>
      <c r="E96" s="111">
        <v>0.44106699999999999</v>
      </c>
    </row>
    <row r="97" spans="2:5" x14ac:dyDescent="0.2">
      <c r="B97" s="6">
        <v>106</v>
      </c>
      <c r="C97" s="111">
        <v>0.48136400000000001</v>
      </c>
      <c r="D97" s="6">
        <v>106</v>
      </c>
      <c r="E97" s="111">
        <v>0.45943400000000001</v>
      </c>
    </row>
    <row r="98" spans="2:5" x14ac:dyDescent="0.2">
      <c r="B98" s="6">
        <v>107</v>
      </c>
      <c r="C98" s="111">
        <v>0.49620799999999998</v>
      </c>
      <c r="D98" s="6">
        <v>107</v>
      </c>
      <c r="E98" s="111">
        <v>0.47710599999999997</v>
      </c>
    </row>
    <row r="99" spans="2:5" x14ac:dyDescent="0.2">
      <c r="B99" s="6">
        <v>108</v>
      </c>
      <c r="C99" s="111">
        <v>0.51044900000000004</v>
      </c>
      <c r="D99" s="6">
        <v>108</v>
      </c>
      <c r="E99" s="111">
        <v>0.49405199999999999</v>
      </c>
    </row>
    <row r="100" spans="2:5" x14ac:dyDescent="0.2">
      <c r="B100" s="6">
        <v>109</v>
      </c>
      <c r="C100" s="111">
        <v>0.524088</v>
      </c>
      <c r="D100" s="6">
        <v>109</v>
      </c>
      <c r="E100" s="111">
        <v>0.51024400000000003</v>
      </c>
    </row>
    <row r="101" spans="2:5" x14ac:dyDescent="0.2">
      <c r="B101" s="6">
        <v>110</v>
      </c>
      <c r="C101" s="111">
        <v>0.53712599999999999</v>
      </c>
      <c r="D101" s="6">
        <v>110</v>
      </c>
      <c r="E101" s="111">
        <v>0.52566400000000002</v>
      </c>
    </row>
    <row r="102" spans="2:5" x14ac:dyDescent="0.2">
      <c r="B102" s="6">
        <v>111</v>
      </c>
      <c r="C102" s="111">
        <v>0.54956799999999995</v>
      </c>
      <c r="D102" s="6">
        <v>111</v>
      </c>
      <c r="E102" s="111">
        <v>0.540296</v>
      </c>
    </row>
    <row r="103" spans="2:5" x14ac:dyDescent="0.2">
      <c r="B103" s="6">
        <v>112</v>
      </c>
      <c r="C103" s="111">
        <v>0.561419</v>
      </c>
      <c r="D103" s="6">
        <v>112</v>
      </c>
      <c r="E103" s="111">
        <v>0.55413000000000001</v>
      </c>
    </row>
    <row r="104" spans="2:5" x14ac:dyDescent="0.2">
      <c r="B104" s="6">
        <v>113</v>
      </c>
      <c r="C104" s="111">
        <v>0.572685</v>
      </c>
      <c r="D104" s="6">
        <v>113</v>
      </c>
      <c r="E104" s="111">
        <v>0.56715899999999997</v>
      </c>
    </row>
    <row r="105" spans="2:5" x14ac:dyDescent="0.2">
      <c r="B105" s="6">
        <v>114</v>
      </c>
      <c r="C105" s="111">
        <v>0.58337099999999997</v>
      </c>
      <c r="D105" s="6">
        <v>114</v>
      </c>
      <c r="E105" s="111">
        <v>0.57937899999999998</v>
      </c>
    </row>
    <row r="106" spans="2:5" x14ac:dyDescent="0.2">
      <c r="B106" s="6">
        <v>115</v>
      </c>
      <c r="C106" s="111">
        <v>0.59348500000000004</v>
      </c>
      <c r="D106" s="6">
        <v>115</v>
      </c>
      <c r="E106" s="111">
        <v>0.59078799999999998</v>
      </c>
    </row>
    <row r="107" spans="2:5" x14ac:dyDescent="0.2">
      <c r="B107" s="6">
        <v>116</v>
      </c>
      <c r="C107" s="111">
        <v>0.60303399999999996</v>
      </c>
      <c r="D107" s="6">
        <v>116</v>
      </c>
      <c r="E107" s="111">
        <v>0.60138499999999995</v>
      </c>
    </row>
    <row r="108" spans="2:5" x14ac:dyDescent="0.2">
      <c r="B108" s="6">
        <v>117</v>
      </c>
      <c r="C108" s="111">
        <v>0.61202400000000001</v>
      </c>
      <c r="D108" s="6">
        <v>117</v>
      </c>
      <c r="E108" s="111">
        <v>0.61117100000000002</v>
      </c>
    </row>
    <row r="109" spans="2:5" x14ac:dyDescent="0.2">
      <c r="B109" s="6">
        <v>118</v>
      </c>
      <c r="C109" s="111">
        <v>0.62046400000000002</v>
      </c>
      <c r="D109" s="6">
        <v>118</v>
      </c>
      <c r="E109" s="111">
        <v>0.620147</v>
      </c>
    </row>
    <row r="110" spans="2:5" x14ac:dyDescent="0.2">
      <c r="B110" s="6">
        <v>119</v>
      </c>
      <c r="C110" s="111">
        <v>0.628359</v>
      </c>
      <c r="D110" s="6">
        <v>119</v>
      </c>
      <c r="E110" s="111">
        <v>0.62831300000000001</v>
      </c>
    </row>
    <row r="111" spans="2:5" x14ac:dyDescent="0.2">
      <c r="B111" s="6">
        <v>120</v>
      </c>
      <c r="C111" s="111">
        <v>1</v>
      </c>
      <c r="D111" s="6">
        <v>120</v>
      </c>
      <c r="E111" s="111">
        <v>1</v>
      </c>
    </row>
    <row r="112" spans="2:5" x14ac:dyDescent="0.2">
      <c r="B112" s="7"/>
      <c r="C112" s="7"/>
      <c r="D112" s="7"/>
      <c r="E112" s="7"/>
    </row>
    <row r="113" spans="2:5" x14ac:dyDescent="0.2">
      <c r="B113" s="7"/>
      <c r="C113" s="7"/>
      <c r="D113" s="7"/>
      <c r="E113" s="7"/>
    </row>
  </sheetData>
  <mergeCells count="2">
    <mergeCell ref="B4:C4"/>
    <mergeCell ref="D4:E4"/>
  </mergeCells>
  <printOptions gridLines="1"/>
  <pageMargins left="0.7" right="0.7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/>
  </sheetViews>
  <sheetFormatPr defaultRowHeight="12.75" x14ac:dyDescent="0.2"/>
  <cols>
    <col min="1" max="1" width="3.7109375" style="7" customWidth="1"/>
    <col min="2" max="2" width="5.7109375" style="7" customWidth="1"/>
    <col min="3" max="4" width="9.140625" style="7"/>
    <col min="5" max="5" width="3.5703125" style="7" customWidth="1"/>
    <col min="6" max="16384" width="9.140625" style="7"/>
  </cols>
  <sheetData>
    <row r="2" spans="1:19" s="32" customFormat="1" ht="25.5" x14ac:dyDescent="0.35">
      <c r="A2" s="33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4" spans="1:19" x14ac:dyDescent="0.2">
      <c r="B4" s="7" t="s">
        <v>118</v>
      </c>
      <c r="E4" s="7" t="s">
        <v>119</v>
      </c>
      <c r="H4" s="7" t="s">
        <v>120</v>
      </c>
      <c r="J4" s="7" t="s">
        <v>121</v>
      </c>
      <c r="L4" s="7" t="s">
        <v>122</v>
      </c>
    </row>
    <row r="6" spans="1:19" x14ac:dyDescent="0.2">
      <c r="B6" s="241" t="s">
        <v>40</v>
      </c>
      <c r="C6" s="251" t="s">
        <v>66</v>
      </c>
      <c r="E6" s="77" t="s">
        <v>9</v>
      </c>
      <c r="F6" s="49" t="str">
        <f>'Q2(ii)'!C5</f>
        <v>Bank I</v>
      </c>
      <c r="H6" s="54" t="str">
        <f>'Q2(iii)'!C5</f>
        <v>Bank K</v>
      </c>
      <c r="J6" s="58" t="str">
        <f>'Q2(iii)'!C5</f>
        <v>Bank K</v>
      </c>
      <c r="L6" s="70">
        <f>'Q2(v)'!C5</f>
        <v>6.6292213095820225</v>
      </c>
      <c r="M6" s="71" t="s">
        <v>107</v>
      </c>
    </row>
    <row r="7" spans="1:19" x14ac:dyDescent="0.2">
      <c r="B7" s="242"/>
      <c r="C7" s="240"/>
      <c r="E7" s="77" t="s">
        <v>11</v>
      </c>
      <c r="F7" s="49" t="str">
        <f>'Q2(ii)'!C6</f>
        <v>Bank L</v>
      </c>
    </row>
    <row r="8" spans="1:19" x14ac:dyDescent="0.2">
      <c r="B8" s="44" t="s">
        <v>42</v>
      </c>
      <c r="C8" s="47">
        <f>'Q2(i)'!P8</f>
        <v>1.7880787922172434E-2</v>
      </c>
    </row>
    <row r="9" spans="1:19" x14ac:dyDescent="0.2">
      <c r="B9" s="44" t="s">
        <v>43</v>
      </c>
      <c r="C9" s="47">
        <f>'Q2(i)'!P9</f>
        <v>1.8077581821827702E-2</v>
      </c>
    </row>
    <row r="10" spans="1:19" x14ac:dyDescent="0.2">
      <c r="B10" s="44" t="s">
        <v>44</v>
      </c>
      <c r="C10" s="47">
        <f>'Q2(i)'!P10</f>
        <v>1.862307359517159E-2</v>
      </c>
    </row>
    <row r="11" spans="1:19" x14ac:dyDescent="0.2">
      <c r="B11" s="44" t="s">
        <v>45</v>
      </c>
      <c r="C11" s="47">
        <f>'Q2(i)'!P11</f>
        <v>2.0012359007326921E-2</v>
      </c>
    </row>
    <row r="12" spans="1:19" x14ac:dyDescent="0.2">
      <c r="B12" s="44" t="s">
        <v>46</v>
      </c>
      <c r="C12" s="47">
        <f>'Q2(i)'!P12</f>
        <v>1.9832570709088258E-2</v>
      </c>
    </row>
    <row r="13" spans="1:19" x14ac:dyDescent="0.2">
      <c r="B13" s="44" t="s">
        <v>47</v>
      </c>
      <c r="C13" s="47">
        <f>'Q2(i)'!P13</f>
        <v>1.9912914596602826E-2</v>
      </c>
    </row>
    <row r="14" spans="1:19" x14ac:dyDescent="0.2">
      <c r="B14" s="44" t="s">
        <v>48</v>
      </c>
      <c r="C14" s="47">
        <f>'Q2(i)'!P14</f>
        <v>2.0079475460428254E-2</v>
      </c>
    </row>
    <row r="15" spans="1:19" x14ac:dyDescent="0.2">
      <c r="B15" s="44" t="s">
        <v>49</v>
      </c>
      <c r="C15" s="47">
        <f>'Q2(i)'!P15</f>
        <v>1.8983770046618196E-2</v>
      </c>
    </row>
    <row r="16" spans="1:19" x14ac:dyDescent="0.2">
      <c r="B16" s="44" t="s">
        <v>50</v>
      </c>
      <c r="C16" s="47">
        <f>'Q2(i)'!P16</f>
        <v>1.92043235946881E-2</v>
      </c>
    </row>
    <row r="17" spans="2:3" x14ac:dyDescent="0.2">
      <c r="B17" s="44" t="s">
        <v>51</v>
      </c>
      <c r="C17" s="47">
        <f>'Q2(i)'!P17</f>
        <v>1.8312192502387348E-2</v>
      </c>
    </row>
    <row r="18" spans="2:3" x14ac:dyDescent="0.2">
      <c r="B18" s="44" t="s">
        <v>52</v>
      </c>
      <c r="C18" s="47">
        <f>'Q2(i)'!P18</f>
        <v>2.1785194240178409E-2</v>
      </c>
    </row>
    <row r="19" spans="2:3" x14ac:dyDescent="0.2">
      <c r="B19" s="44" t="s">
        <v>53</v>
      </c>
      <c r="C19" s="47">
        <f>'Q2(i)'!P19</f>
        <v>2.1265357678309563E-2</v>
      </c>
    </row>
    <row r="20" spans="2:3" x14ac:dyDescent="0.2">
      <c r="B20" s="44" t="s">
        <v>54</v>
      </c>
      <c r="C20" s="47">
        <f>'Q2(i)'!P20</f>
        <v>2.0395696995948214E-2</v>
      </c>
    </row>
    <row r="21" spans="2:3" x14ac:dyDescent="0.2">
      <c r="B21" s="44" t="s">
        <v>55</v>
      </c>
      <c r="C21" s="47">
        <f>'Q2(i)'!P21</f>
        <v>1.820639506948599E-2</v>
      </c>
    </row>
    <row r="22" spans="2:3" x14ac:dyDescent="0.2">
      <c r="B22" s="44" t="s">
        <v>56</v>
      </c>
      <c r="C22" s="47">
        <f>'Q2(i)'!P22</f>
        <v>1.8537570354261249E-2</v>
      </c>
    </row>
    <row r="23" spans="2:3" x14ac:dyDescent="0.2">
      <c r="B23" s="44" t="s">
        <v>57</v>
      </c>
      <c r="C23" s="47">
        <f>'Q2(i)'!P23</f>
        <v>1.8772197240162151E-2</v>
      </c>
    </row>
    <row r="24" spans="2:3" x14ac:dyDescent="0.2">
      <c r="B24" s="44" t="s">
        <v>58</v>
      </c>
      <c r="C24" s="47">
        <f>'Q2(i)'!P24</f>
        <v>1.8009187947915076E-2</v>
      </c>
    </row>
    <row r="25" spans="2:3" x14ac:dyDescent="0.2">
      <c r="B25" s="44" t="s">
        <v>59</v>
      </c>
      <c r="C25" s="47">
        <f>'Q2(i)'!P25</f>
        <v>1.8238226467169969E-2</v>
      </c>
    </row>
    <row r="26" spans="2:3" x14ac:dyDescent="0.2">
      <c r="B26" s="44" t="s">
        <v>60</v>
      </c>
      <c r="C26" s="47">
        <f>'Q2(i)'!P26</f>
        <v>1.7584173798735791E-2</v>
      </c>
    </row>
    <row r="27" spans="2:3" x14ac:dyDescent="0.2">
      <c r="B27" s="44" t="s">
        <v>61</v>
      </c>
      <c r="C27" s="47">
        <f>'Q2(i)'!P27</f>
        <v>1.74581578284108E-2</v>
      </c>
    </row>
  </sheetData>
  <mergeCells count="2">
    <mergeCell ref="B6:B7"/>
    <mergeCell ref="C6:C7"/>
  </mergeCells>
  <printOptions gridLines="1"/>
  <pageMargins left="0.70078740157480324" right="0.70078740157480324" top="0.75196850393700787" bottom="0.75196850393700787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A2:I31"/>
  <sheetViews>
    <sheetView workbookViewId="0"/>
  </sheetViews>
  <sheetFormatPr defaultRowHeight="12.75" x14ac:dyDescent="0.2"/>
  <cols>
    <col min="1" max="1" width="9.140625" style="7"/>
    <col min="2" max="2" width="10.28515625" style="7" customWidth="1"/>
    <col min="3" max="3" width="13.5703125" style="7" customWidth="1"/>
    <col min="4" max="4" width="9.140625" style="7"/>
    <col min="5" max="5" width="33.140625" style="7" bestFit="1" customWidth="1"/>
    <col min="6" max="6" width="5.85546875" style="7" bestFit="1" customWidth="1"/>
    <col min="7" max="7" width="15" style="7" bestFit="1" customWidth="1"/>
    <col min="8" max="16384" width="9.140625" style="7"/>
  </cols>
  <sheetData>
    <row r="2" spans="1:9" s="2" customFormat="1" ht="25.5" x14ac:dyDescent="0.35">
      <c r="A2" s="3" t="s">
        <v>123</v>
      </c>
    </row>
    <row r="4" spans="1:9" ht="22.5" customHeight="1" x14ac:dyDescent="0.2">
      <c r="B4" s="252" t="s">
        <v>232</v>
      </c>
      <c r="C4" s="253"/>
      <c r="E4" s="78" t="s">
        <v>124</v>
      </c>
    </row>
    <row r="5" spans="1:9" x14ac:dyDescent="0.2">
      <c r="B5" s="50" t="s">
        <v>125</v>
      </c>
      <c r="C5" s="79" t="s">
        <v>126</v>
      </c>
    </row>
    <row r="6" spans="1:9" x14ac:dyDescent="0.2">
      <c r="B6" s="51">
        <v>40</v>
      </c>
      <c r="C6" s="80">
        <v>8.9014999999999993E-4</v>
      </c>
      <c r="E6" s="7" t="s">
        <v>127</v>
      </c>
      <c r="F6" s="81">
        <v>0.8</v>
      </c>
      <c r="G6" s="115" t="s">
        <v>233</v>
      </c>
    </row>
    <row r="7" spans="1:9" x14ac:dyDescent="0.2">
      <c r="B7" s="51">
        <v>41</v>
      </c>
      <c r="C7" s="80">
        <v>9.6329999999999983E-4</v>
      </c>
      <c r="I7" s="82"/>
    </row>
    <row r="8" spans="1:9" x14ac:dyDescent="0.2">
      <c r="B8" s="51">
        <v>42</v>
      </c>
      <c r="C8" s="80">
        <v>1.0487999999999999E-3</v>
      </c>
      <c r="E8" s="7" t="s">
        <v>128</v>
      </c>
    </row>
    <row r="9" spans="1:9" x14ac:dyDescent="0.2">
      <c r="B9" s="51">
        <v>43</v>
      </c>
      <c r="C9" s="80">
        <v>1.1476000000000001E-3</v>
      </c>
    </row>
    <row r="10" spans="1:9" x14ac:dyDescent="0.2">
      <c r="B10" s="51">
        <v>44</v>
      </c>
      <c r="C10" s="80">
        <v>1.2606500000000001E-3</v>
      </c>
      <c r="E10" s="7" t="s">
        <v>129</v>
      </c>
      <c r="F10" s="83">
        <v>0.05</v>
      </c>
      <c r="G10" s="7" t="s">
        <v>130</v>
      </c>
    </row>
    <row r="11" spans="1:9" x14ac:dyDescent="0.2">
      <c r="B11" s="51">
        <v>45</v>
      </c>
      <c r="C11" s="80">
        <v>1.39175E-3</v>
      </c>
    </row>
    <row r="12" spans="1:9" x14ac:dyDescent="0.2">
      <c r="B12" s="51">
        <v>46</v>
      </c>
      <c r="C12" s="80">
        <v>1.5409E-3</v>
      </c>
    </row>
    <row r="13" spans="1:9" x14ac:dyDescent="0.2">
      <c r="B13" s="51">
        <v>47</v>
      </c>
      <c r="C13" s="80">
        <v>1.7118999999999999E-3</v>
      </c>
      <c r="F13" s="82"/>
      <c r="G13" s="82"/>
    </row>
    <row r="14" spans="1:9" x14ac:dyDescent="0.2">
      <c r="B14" s="51">
        <v>48</v>
      </c>
      <c r="C14" s="80">
        <v>1.9075999999999997E-3</v>
      </c>
      <c r="F14" s="82"/>
      <c r="G14" s="82"/>
    </row>
    <row r="15" spans="1:9" x14ac:dyDescent="0.2">
      <c r="B15" s="51">
        <v>49</v>
      </c>
      <c r="C15" s="80">
        <v>2.1289499999999997E-3</v>
      </c>
      <c r="F15" s="84"/>
      <c r="G15" s="82"/>
    </row>
    <row r="16" spans="1:9" x14ac:dyDescent="0.2">
      <c r="B16" s="51">
        <v>50</v>
      </c>
      <c r="C16" s="80">
        <v>2.3825999999999999E-3</v>
      </c>
      <c r="F16" s="84"/>
      <c r="G16" s="82"/>
    </row>
    <row r="17" spans="2:7" x14ac:dyDescent="0.2">
      <c r="B17" s="51">
        <v>51</v>
      </c>
      <c r="C17" s="80">
        <v>2.6685499999999996E-3</v>
      </c>
      <c r="F17" s="84"/>
      <c r="G17" s="82"/>
    </row>
    <row r="18" spans="2:7" x14ac:dyDescent="0.2">
      <c r="B18" s="51">
        <v>52</v>
      </c>
      <c r="C18" s="80">
        <v>2.9943999999999999E-3</v>
      </c>
      <c r="E18" s="85"/>
      <c r="F18" s="84"/>
      <c r="G18" s="84"/>
    </row>
    <row r="19" spans="2:7" x14ac:dyDescent="0.2">
      <c r="B19" s="51">
        <v>53</v>
      </c>
      <c r="C19" s="80">
        <v>3.3620499999999997E-3</v>
      </c>
      <c r="F19" s="82"/>
      <c r="G19" s="82"/>
    </row>
    <row r="20" spans="2:7" x14ac:dyDescent="0.2">
      <c r="B20" s="51">
        <v>54</v>
      </c>
      <c r="C20" s="80">
        <v>3.7772000000000001E-3</v>
      </c>
    </row>
    <row r="21" spans="2:7" x14ac:dyDescent="0.2">
      <c r="B21" s="51">
        <v>55</v>
      </c>
      <c r="C21" s="80">
        <v>4.2455499999999998E-3</v>
      </c>
    </row>
    <row r="22" spans="2:7" x14ac:dyDescent="0.2">
      <c r="B22" s="51">
        <v>56</v>
      </c>
      <c r="C22" s="80">
        <v>4.7737499999999993E-3</v>
      </c>
    </row>
    <row r="23" spans="2:7" x14ac:dyDescent="0.2">
      <c r="B23" s="51">
        <v>57</v>
      </c>
      <c r="C23" s="80">
        <v>5.367499999999999E-3</v>
      </c>
    </row>
    <row r="24" spans="2:7" x14ac:dyDescent="0.2">
      <c r="B24" s="51">
        <v>58</v>
      </c>
      <c r="C24" s="80">
        <v>6.0343999999999997E-3</v>
      </c>
      <c r="G24" s="82"/>
    </row>
    <row r="25" spans="2:7" x14ac:dyDescent="0.2">
      <c r="B25" s="51">
        <v>59</v>
      </c>
      <c r="C25" s="80">
        <v>6.7829999999999991E-3</v>
      </c>
      <c r="G25" s="82"/>
    </row>
    <row r="26" spans="2:7" x14ac:dyDescent="0.2">
      <c r="B26" s="51">
        <v>60</v>
      </c>
      <c r="C26" s="80">
        <v>7.620899999999999E-3</v>
      </c>
    </row>
    <row r="27" spans="2:7" x14ac:dyDescent="0.2">
      <c r="B27" s="51">
        <v>61</v>
      </c>
      <c r="C27" s="80">
        <v>8.5585499999999998E-3</v>
      </c>
      <c r="G27" s="82"/>
    </row>
    <row r="28" spans="2:7" x14ac:dyDescent="0.2">
      <c r="B28" s="51">
        <v>62</v>
      </c>
      <c r="C28" s="80">
        <v>9.6063999999999993E-3</v>
      </c>
    </row>
    <row r="29" spans="2:7" x14ac:dyDescent="0.2">
      <c r="B29" s="51">
        <v>63</v>
      </c>
      <c r="C29" s="80">
        <v>1.07768E-2</v>
      </c>
    </row>
    <row r="30" spans="2:7" x14ac:dyDescent="0.2">
      <c r="B30" s="51">
        <v>64</v>
      </c>
      <c r="C30" s="80">
        <v>1.2080199999999999E-2</v>
      </c>
    </row>
    <row r="31" spans="2:7" x14ac:dyDescent="0.2">
      <c r="B31" s="51">
        <v>65</v>
      </c>
      <c r="C31" s="80">
        <v>1.3530850000000001E-2</v>
      </c>
      <c r="G31" s="82"/>
    </row>
  </sheetData>
  <mergeCells count="1">
    <mergeCell ref="B4:C4"/>
  </mergeCells>
  <printOptions gridLines="1"/>
  <pageMargins left="0.7" right="0.7" top="0.75" bottom="0.75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A2:J33"/>
  <sheetViews>
    <sheetView workbookViewId="0"/>
  </sheetViews>
  <sheetFormatPr defaultRowHeight="12.75" x14ac:dyDescent="0.2"/>
  <cols>
    <col min="1" max="2" width="9.140625" style="7"/>
    <col min="3" max="3" width="10.28515625" style="7" bestFit="1" customWidth="1"/>
    <col min="4" max="4" width="9.140625" style="7"/>
    <col min="5" max="5" width="35.85546875" style="7" bestFit="1" customWidth="1"/>
    <col min="6" max="6" width="15" style="7" customWidth="1"/>
    <col min="7" max="7" width="15" style="7" bestFit="1" customWidth="1"/>
    <col min="8" max="16384" width="9.140625" style="7"/>
  </cols>
  <sheetData>
    <row r="2" spans="1:10" s="2" customFormat="1" ht="25.5" x14ac:dyDescent="0.35">
      <c r="A2" s="3" t="s">
        <v>131</v>
      </c>
    </row>
    <row r="4" spans="1:10" ht="15" x14ac:dyDescent="0.2">
      <c r="B4" s="86" t="s">
        <v>132</v>
      </c>
      <c r="C4" s="87"/>
    </row>
    <row r="5" spans="1:10" x14ac:dyDescent="0.2">
      <c r="B5" s="87"/>
      <c r="C5" s="87"/>
    </row>
    <row r="6" spans="1:10" ht="34.5" customHeight="1" x14ac:dyDescent="0.2">
      <c r="B6" s="254" t="s">
        <v>234</v>
      </c>
      <c r="C6" s="254"/>
      <c r="E6" s="88" t="s">
        <v>133</v>
      </c>
      <c r="F6" s="20" t="s">
        <v>134</v>
      </c>
      <c r="G6" s="7" t="s">
        <v>135</v>
      </c>
    </row>
    <row r="7" spans="1:10" x14ac:dyDescent="0.2">
      <c r="B7" s="89" t="s">
        <v>125</v>
      </c>
      <c r="C7" s="90" t="s">
        <v>126</v>
      </c>
      <c r="E7" s="51">
        <v>1</v>
      </c>
      <c r="F7" s="91">
        <v>0.1</v>
      </c>
    </row>
    <row r="8" spans="1:10" x14ac:dyDescent="0.2">
      <c r="B8" s="92">
        <v>40</v>
      </c>
      <c r="C8" s="93">
        <v>9.3700000000000001E-4</v>
      </c>
      <c r="E8" s="51">
        <v>2</v>
      </c>
      <c r="F8" s="91">
        <v>0.05</v>
      </c>
      <c r="G8" s="82"/>
    </row>
    <row r="9" spans="1:10" x14ac:dyDescent="0.2">
      <c r="B9" s="92">
        <v>41</v>
      </c>
      <c r="C9" s="93">
        <v>1.0139999999999999E-3</v>
      </c>
      <c r="E9" s="94" t="s">
        <v>136</v>
      </c>
      <c r="F9" s="95">
        <v>2.5000000000000001E-2</v>
      </c>
      <c r="G9" s="82"/>
      <c r="I9" s="82"/>
    </row>
    <row r="10" spans="1:10" x14ac:dyDescent="0.2">
      <c r="B10" s="92">
        <v>42</v>
      </c>
      <c r="C10" s="93">
        <v>1.1039999999999999E-3</v>
      </c>
      <c r="E10" s="51">
        <v>20</v>
      </c>
      <c r="F10" s="91">
        <v>0</v>
      </c>
      <c r="G10" s="82"/>
    </row>
    <row r="11" spans="1:10" x14ac:dyDescent="0.2">
      <c r="B11" s="92">
        <v>43</v>
      </c>
      <c r="C11" s="93">
        <v>1.2080000000000001E-3</v>
      </c>
      <c r="G11" s="82"/>
    </row>
    <row r="12" spans="1:10" x14ac:dyDescent="0.2">
      <c r="B12" s="92">
        <v>44</v>
      </c>
      <c r="C12" s="93">
        <v>1.3270000000000001E-3</v>
      </c>
      <c r="E12" s="7" t="s">
        <v>137</v>
      </c>
      <c r="F12" s="81">
        <v>0.9</v>
      </c>
      <c r="G12" s="115" t="s">
        <v>235</v>
      </c>
    </row>
    <row r="13" spans="1:10" x14ac:dyDescent="0.2">
      <c r="B13" s="92">
        <v>45</v>
      </c>
      <c r="C13" s="93">
        <v>1.4649999999999999E-3</v>
      </c>
    </row>
    <row r="14" spans="1:10" x14ac:dyDescent="0.2">
      <c r="B14" s="92">
        <v>46</v>
      </c>
      <c r="C14" s="93">
        <v>1.622E-3</v>
      </c>
      <c r="E14" s="7" t="s">
        <v>138</v>
      </c>
      <c r="F14" s="96">
        <v>500</v>
      </c>
      <c r="G14" s="7" t="s">
        <v>139</v>
      </c>
    </row>
    <row r="15" spans="1:10" x14ac:dyDescent="0.2">
      <c r="B15" s="92">
        <v>47</v>
      </c>
      <c r="C15" s="93">
        <v>1.802E-3</v>
      </c>
      <c r="E15" s="7" t="s">
        <v>140</v>
      </c>
      <c r="F15" s="96">
        <v>50</v>
      </c>
      <c r="G15" s="7" t="s">
        <v>141</v>
      </c>
      <c r="I15" s="82"/>
      <c r="J15" s="82"/>
    </row>
    <row r="16" spans="1:10" x14ac:dyDescent="0.2">
      <c r="B16" s="92">
        <v>48</v>
      </c>
      <c r="C16" s="93">
        <v>2.0079999999999998E-3</v>
      </c>
      <c r="I16" s="82"/>
      <c r="J16" s="82"/>
    </row>
    <row r="17" spans="2:10" x14ac:dyDescent="0.2">
      <c r="B17" s="92">
        <v>49</v>
      </c>
      <c r="C17" s="93">
        <v>2.2409999999999999E-3</v>
      </c>
      <c r="E17" s="7" t="s">
        <v>142</v>
      </c>
      <c r="F17" s="81">
        <v>0.75</v>
      </c>
      <c r="G17" s="7" t="s">
        <v>143</v>
      </c>
      <c r="I17" s="84"/>
      <c r="J17" s="82"/>
    </row>
    <row r="18" spans="2:10" x14ac:dyDescent="0.2">
      <c r="B18" s="92">
        <v>50</v>
      </c>
      <c r="C18" s="93">
        <v>2.5079999999999998E-3</v>
      </c>
      <c r="E18" s="7" t="s">
        <v>144</v>
      </c>
      <c r="F18" s="83">
        <v>0.05</v>
      </c>
      <c r="G18" s="7" t="s">
        <v>145</v>
      </c>
      <c r="I18" s="84"/>
      <c r="J18" s="82"/>
    </row>
    <row r="19" spans="2:10" x14ac:dyDescent="0.2">
      <c r="B19" s="92">
        <v>51</v>
      </c>
      <c r="C19" s="93">
        <v>2.8089999999999999E-3</v>
      </c>
      <c r="I19" s="84"/>
      <c r="J19" s="82"/>
    </row>
    <row r="20" spans="2:10" x14ac:dyDescent="0.2">
      <c r="B20" s="92">
        <v>52</v>
      </c>
      <c r="C20" s="93">
        <v>3.1519999999999999E-3</v>
      </c>
      <c r="E20" s="7" t="s">
        <v>146</v>
      </c>
      <c r="F20" s="81">
        <v>0.04</v>
      </c>
      <c r="G20" s="7" t="s">
        <v>130</v>
      </c>
      <c r="J20" s="84"/>
    </row>
    <row r="21" spans="2:10" x14ac:dyDescent="0.2">
      <c r="B21" s="92">
        <v>53</v>
      </c>
      <c r="C21" s="93">
        <v>3.539E-3</v>
      </c>
      <c r="J21" s="82"/>
    </row>
    <row r="22" spans="2:10" x14ac:dyDescent="0.2">
      <c r="B22" s="92">
        <v>54</v>
      </c>
      <c r="C22" s="93">
        <v>3.9760000000000004E-3</v>
      </c>
      <c r="E22" s="7" t="s">
        <v>147</v>
      </c>
      <c r="F22" s="96">
        <v>25</v>
      </c>
      <c r="G22" s="7" t="s">
        <v>148</v>
      </c>
    </row>
    <row r="23" spans="2:10" x14ac:dyDescent="0.2">
      <c r="B23" s="92">
        <v>55</v>
      </c>
      <c r="C23" s="93">
        <v>4.4689999999999999E-3</v>
      </c>
    </row>
    <row r="24" spans="2:10" x14ac:dyDescent="0.2">
      <c r="B24" s="92">
        <v>56</v>
      </c>
      <c r="C24" s="93">
        <v>5.025E-3</v>
      </c>
      <c r="E24" s="7" t="s">
        <v>149</v>
      </c>
      <c r="F24" s="81">
        <v>0.1</v>
      </c>
      <c r="G24" s="7" t="s">
        <v>130</v>
      </c>
    </row>
    <row r="25" spans="2:10" x14ac:dyDescent="0.2">
      <c r="B25" s="92">
        <v>57</v>
      </c>
      <c r="C25" s="93">
        <v>5.6499999999999996E-3</v>
      </c>
    </row>
    <row r="26" spans="2:10" x14ac:dyDescent="0.2">
      <c r="B26" s="92">
        <v>58</v>
      </c>
      <c r="C26" s="93">
        <v>6.352E-3</v>
      </c>
    </row>
    <row r="27" spans="2:10" x14ac:dyDescent="0.2">
      <c r="B27" s="92">
        <v>59</v>
      </c>
      <c r="C27" s="93">
        <v>7.1399999999999996E-3</v>
      </c>
    </row>
    <row r="28" spans="2:10" x14ac:dyDescent="0.2">
      <c r="B28" s="92">
        <v>60</v>
      </c>
      <c r="C28" s="93">
        <v>8.0219999999999996E-3</v>
      </c>
    </row>
    <row r="29" spans="2:10" x14ac:dyDescent="0.2">
      <c r="B29" s="92">
        <v>61</v>
      </c>
      <c r="C29" s="93">
        <v>9.0089999999999996E-3</v>
      </c>
    </row>
    <row r="30" spans="2:10" x14ac:dyDescent="0.2">
      <c r="B30" s="92">
        <v>62</v>
      </c>
      <c r="C30" s="93">
        <v>1.0111999999999999E-2</v>
      </c>
    </row>
    <row r="31" spans="2:10" x14ac:dyDescent="0.2">
      <c r="B31" s="92">
        <v>63</v>
      </c>
      <c r="C31" s="93">
        <v>1.1344E-2</v>
      </c>
    </row>
    <row r="32" spans="2:10" x14ac:dyDescent="0.2">
      <c r="B32" s="92">
        <v>64</v>
      </c>
      <c r="C32" s="93">
        <v>1.2716E-2</v>
      </c>
    </row>
    <row r="33" spans="2:3" x14ac:dyDescent="0.2">
      <c r="B33" s="92">
        <v>65</v>
      </c>
      <c r="C33" s="93">
        <v>1.4243E-2</v>
      </c>
    </row>
  </sheetData>
  <mergeCells count="1">
    <mergeCell ref="B6:C6"/>
  </mergeCells>
  <printOptions gridLines="1"/>
  <pageMargins left="0.7" right="0.7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workbookViewId="0">
      <selection activeCell="Q28" sqref="Q28"/>
    </sheetView>
  </sheetViews>
  <sheetFormatPr defaultRowHeight="12.75" x14ac:dyDescent="0.2"/>
  <cols>
    <col min="1" max="1" width="4" style="7" customWidth="1"/>
    <col min="2" max="2" width="7.85546875" style="7" customWidth="1"/>
    <col min="3" max="3" width="6.7109375" style="7" customWidth="1"/>
    <col min="4" max="4" width="9.28515625" style="7" bestFit="1" customWidth="1"/>
    <col min="5" max="5" width="9.42578125" style="7" customWidth="1"/>
    <col min="6" max="6" width="9.28515625" style="7" bestFit="1" customWidth="1"/>
    <col min="7" max="10" width="9.28515625" style="7" customWidth="1"/>
    <col min="11" max="11" width="12.140625" style="7" customWidth="1"/>
    <col min="12" max="12" width="4.42578125" style="7" customWidth="1"/>
    <col min="13" max="15" width="12.140625" style="7" customWidth="1"/>
    <col min="16" max="16" width="4.42578125" style="7" customWidth="1"/>
    <col min="17" max="17" width="13.140625" style="7" customWidth="1"/>
    <col min="18" max="16384" width="9.140625" style="7"/>
  </cols>
  <sheetData>
    <row r="2" spans="1:17" s="2" customFormat="1" ht="25.5" x14ac:dyDescent="0.35">
      <c r="A2" s="52" t="s">
        <v>150</v>
      </c>
    </row>
    <row r="4" spans="1:17" x14ac:dyDescent="0.2">
      <c r="B4" s="97" t="s">
        <v>151</v>
      </c>
      <c r="D4" s="97">
        <v>100000</v>
      </c>
      <c r="E4" s="10"/>
      <c r="F4" s="10"/>
      <c r="G4" s="255" t="s">
        <v>152</v>
      </c>
      <c r="H4" s="256"/>
      <c r="I4" s="256"/>
      <c r="J4" s="256"/>
      <c r="K4" s="257"/>
      <c r="L4" s="10"/>
      <c r="M4" s="255" t="s">
        <v>153</v>
      </c>
      <c r="N4" s="256"/>
      <c r="O4" s="257"/>
      <c r="P4" s="10"/>
      <c r="Q4" s="98" t="s">
        <v>154</v>
      </c>
    </row>
    <row r="6" spans="1:17" x14ac:dyDescent="0.2">
      <c r="E6" s="18" t="s">
        <v>13</v>
      </c>
      <c r="F6" s="19" t="s">
        <v>63</v>
      </c>
      <c r="G6" s="18" t="s">
        <v>10</v>
      </c>
      <c r="H6" s="18" t="s">
        <v>10</v>
      </c>
      <c r="I6" s="18" t="s">
        <v>10</v>
      </c>
      <c r="J6" s="18" t="s">
        <v>10</v>
      </c>
      <c r="K6" s="42" t="s">
        <v>10</v>
      </c>
      <c r="M6" s="18" t="s">
        <v>63</v>
      </c>
      <c r="N6" s="18" t="s">
        <v>10</v>
      </c>
      <c r="O6" s="42" t="s">
        <v>10</v>
      </c>
      <c r="Q6" s="42" t="s">
        <v>155</v>
      </c>
    </row>
    <row r="7" spans="1:17" x14ac:dyDescent="0.2"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</row>
    <row r="8" spans="1:17" s="100" customFormat="1" ht="38.25" x14ac:dyDescent="0.2">
      <c r="B8" s="20" t="s">
        <v>133</v>
      </c>
      <c r="C8" s="20" t="s">
        <v>125</v>
      </c>
      <c r="D8" s="20" t="s">
        <v>156</v>
      </c>
      <c r="E8" s="20" t="s">
        <v>157</v>
      </c>
      <c r="F8" s="20" t="s">
        <v>158</v>
      </c>
      <c r="G8" s="20" t="s">
        <v>159</v>
      </c>
      <c r="H8" s="20" t="s">
        <v>160</v>
      </c>
      <c r="I8" s="20" t="s">
        <v>161</v>
      </c>
      <c r="J8" s="20" t="s">
        <v>162</v>
      </c>
      <c r="K8" s="20" t="s">
        <v>163</v>
      </c>
      <c r="L8" s="99"/>
      <c r="M8" s="20" t="s">
        <v>164</v>
      </c>
      <c r="N8" s="20" t="s">
        <v>162</v>
      </c>
      <c r="O8" s="20" t="s">
        <v>163</v>
      </c>
      <c r="Q8" s="20" t="s">
        <v>163</v>
      </c>
    </row>
    <row r="9" spans="1:17" x14ac:dyDescent="0.2">
      <c r="B9" s="57">
        <v>1</v>
      </c>
      <c r="C9" s="57">
        <v>40</v>
      </c>
      <c r="D9" s="57">
        <f>'Q3 Valuation Basis'!C6</f>
        <v>8.9014999999999993E-4</v>
      </c>
      <c r="E9" s="180">
        <f>'Q3 Valuation Basis'!$F$6*D9</f>
        <v>7.1212000000000001E-4</v>
      </c>
      <c r="F9" s="181">
        <f t="shared" ref="F9:F27" si="0">1+(1-E9)*F10/(1+ival)</f>
        <v>12.946844294706224</v>
      </c>
      <c r="G9" s="182">
        <f t="shared" ref="G9:G28" si="1">E9/(1+ival)+G10*(1-E9)/(1+ival)</f>
        <v>2.3241338466689739E-2</v>
      </c>
      <c r="H9" s="182">
        <f t="shared" ref="H9:H27" si="2">H10*(1-E9)/(1+ival)</f>
        <v>0.36024226654729902</v>
      </c>
      <c r="I9" s="182">
        <f t="shared" ref="I9:I28" si="3">H9+G9</f>
        <v>0.38348360501398876</v>
      </c>
      <c r="J9" s="183">
        <f>D4*I9/F9</f>
        <v>2961.9851469967057</v>
      </c>
      <c r="K9" s="184">
        <f t="shared" ref="K9:K28" si="4">$D$4*I9-$J$9*F9</f>
        <v>0</v>
      </c>
      <c r="L9" s="99"/>
      <c r="M9" s="182">
        <f t="shared" ref="M9:M28" si="5">1-(ival/(1+ival)*F9)</f>
        <v>0.38348360501398937</v>
      </c>
      <c r="N9" s="183">
        <f>D4*M9/F9</f>
        <v>2961.9851469967102</v>
      </c>
      <c r="O9" s="184">
        <f t="shared" ref="O9:O28" si="6">$D$4*M9-$J$9*F9</f>
        <v>5.8207660913467407E-11</v>
      </c>
      <c r="P9" s="101"/>
      <c r="Q9" s="102">
        <f t="shared" ref="Q9:Q28" si="7">$D$4*(1-F9/$F$9)</f>
        <v>0</v>
      </c>
    </row>
    <row r="10" spans="1:17" x14ac:dyDescent="0.2">
      <c r="B10" s="57">
        <v>2</v>
      </c>
      <c r="C10" s="57">
        <v>41</v>
      </c>
      <c r="D10" s="57">
        <f>'Q3 Valuation Basis'!C7</f>
        <v>9.6329999999999983E-4</v>
      </c>
      <c r="E10" s="180">
        <f>'Q3 Valuation Basis'!$F$6*D10</f>
        <v>7.7063999999999995E-4</v>
      </c>
      <c r="F10" s="181">
        <f t="shared" si="0"/>
        <v>12.553125841415724</v>
      </c>
      <c r="G10" s="182">
        <f t="shared" si="1"/>
        <v>2.3708168450941512E-2</v>
      </c>
      <c r="H10" s="182">
        <f t="shared" si="2"/>
        <v>0.37852393433878528</v>
      </c>
      <c r="I10" s="182">
        <f t="shared" si="3"/>
        <v>0.40223210278972682</v>
      </c>
      <c r="J10" s="185"/>
      <c r="K10" s="184">
        <f t="shared" si="4"/>
        <v>3041.0379883187852</v>
      </c>
      <c r="L10" s="99"/>
      <c r="M10" s="182">
        <f t="shared" si="5"/>
        <v>0.40223210278972743</v>
      </c>
      <c r="N10" s="185"/>
      <c r="O10" s="184">
        <f t="shared" si="6"/>
        <v>3041.0379883188434</v>
      </c>
      <c r="P10" s="101"/>
      <c r="Q10" s="102">
        <f t="shared" si="7"/>
        <v>3041.0379883187843</v>
      </c>
    </row>
    <row r="11" spans="1:17" x14ac:dyDescent="0.2">
      <c r="B11" s="57">
        <v>3</v>
      </c>
      <c r="C11" s="57">
        <v>42</v>
      </c>
      <c r="D11" s="57">
        <f>'Q3 Valuation Basis'!C8</f>
        <v>1.0487999999999999E-3</v>
      </c>
      <c r="E11" s="180">
        <f>'Q3 Valuation Basis'!$F$6*D11</f>
        <v>8.3903999999999999E-4</v>
      </c>
      <c r="F11" s="181">
        <f t="shared" si="0"/>
        <v>12.140137809287861</v>
      </c>
      <c r="G11" s="182">
        <f t="shared" si="1"/>
        <v>2.4141541310884407E-2</v>
      </c>
      <c r="H11" s="182">
        <f t="shared" si="2"/>
        <v>0.39775665824683593</v>
      </c>
      <c r="I11" s="182">
        <f t="shared" si="3"/>
        <v>0.42189819955772034</v>
      </c>
      <c r="J11" s="185"/>
      <c r="K11" s="184">
        <f t="shared" si="4"/>
        <v>6230.9120821682664</v>
      </c>
      <c r="M11" s="182">
        <f t="shared" si="5"/>
        <v>0.4218981995577209</v>
      </c>
      <c r="N11" s="185"/>
      <c r="O11" s="184">
        <f t="shared" si="6"/>
        <v>6230.9120821683173</v>
      </c>
      <c r="P11" s="101"/>
      <c r="Q11" s="102">
        <f t="shared" si="7"/>
        <v>6230.9120821682718</v>
      </c>
    </row>
    <row r="12" spans="1:17" x14ac:dyDescent="0.2">
      <c r="B12" s="57">
        <v>4</v>
      </c>
      <c r="C12" s="57">
        <v>43</v>
      </c>
      <c r="D12" s="57">
        <f>'Q3 Valuation Basis'!C9</f>
        <v>1.1476000000000001E-3</v>
      </c>
      <c r="E12" s="180">
        <f>'Q3 Valuation Basis'!$F$6*D12</f>
        <v>9.1808000000000015E-4</v>
      </c>
      <c r="F12" s="181">
        <f t="shared" si="0"/>
        <v>11.706967313607063</v>
      </c>
      <c r="G12" s="182">
        <f t="shared" si="1"/>
        <v>2.4530160162010962E-2</v>
      </c>
      <c r="H12" s="182">
        <f t="shared" si="2"/>
        <v>0.41799520585669975</v>
      </c>
      <c r="I12" s="182">
        <f t="shared" si="3"/>
        <v>0.44252536601871073</v>
      </c>
      <c r="J12" s="185"/>
      <c r="K12" s="184">
        <f t="shared" si="4"/>
        <v>9576.6733025910289</v>
      </c>
      <c r="M12" s="182">
        <f t="shared" si="5"/>
        <v>0.44252536601871129</v>
      </c>
      <c r="N12" s="185"/>
      <c r="O12" s="184">
        <f t="shared" si="6"/>
        <v>9576.6733025910871</v>
      </c>
      <c r="P12" s="101"/>
      <c r="Q12" s="102">
        <f t="shared" si="7"/>
        <v>9576.6733025910326</v>
      </c>
    </row>
    <row r="13" spans="1:17" x14ac:dyDescent="0.2">
      <c r="B13" s="57">
        <v>5</v>
      </c>
      <c r="C13" s="57">
        <v>44</v>
      </c>
      <c r="D13" s="57">
        <f>'Q3 Valuation Basis'!C10</f>
        <v>1.2606500000000001E-3</v>
      </c>
      <c r="E13" s="180">
        <f>'Q3 Valuation Basis'!$F$6*D13</f>
        <v>1.0085200000000002E-3</v>
      </c>
      <c r="F13" s="181">
        <f t="shared" si="0"/>
        <v>11.252646508994395</v>
      </c>
      <c r="G13" s="182">
        <f t="shared" si="1"/>
        <v>2.4861412936099885E-2</v>
      </c>
      <c r="H13" s="182">
        <f t="shared" si="2"/>
        <v>0.4392982771117856</v>
      </c>
      <c r="I13" s="182">
        <f t="shared" si="3"/>
        <v>0.46415969004788549</v>
      </c>
      <c r="J13" s="185"/>
      <c r="K13" s="184">
        <f t="shared" si="4"/>
        <v>13085.797180742811</v>
      </c>
      <c r="M13" s="182">
        <f t="shared" si="5"/>
        <v>0.46415969004788593</v>
      </c>
      <c r="N13" s="185"/>
      <c r="O13" s="184">
        <f t="shared" si="6"/>
        <v>13085.797180742862</v>
      </c>
      <c r="P13" s="101"/>
      <c r="Q13" s="102">
        <f t="shared" si="7"/>
        <v>13085.797180742809</v>
      </c>
    </row>
    <row r="14" spans="1:17" x14ac:dyDescent="0.2">
      <c r="B14" s="57">
        <v>6</v>
      </c>
      <c r="C14" s="57">
        <v>45</v>
      </c>
      <c r="D14" s="57">
        <f>'Q3 Valuation Basis'!C11</f>
        <v>1.39175E-3</v>
      </c>
      <c r="E14" s="180">
        <f>'Q3 Valuation Basis'!$F$6*D14</f>
        <v>1.1134000000000001E-3</v>
      </c>
      <c r="F14" s="181">
        <f t="shared" si="0"/>
        <v>10.77614679400881</v>
      </c>
      <c r="G14" s="182">
        <f t="shared" si="1"/>
        <v>2.5121298915286923E-2</v>
      </c>
      <c r="H14" s="182">
        <f t="shared" si="2"/>
        <v>0.46172885375095979</v>
      </c>
      <c r="I14" s="182">
        <f t="shared" si="3"/>
        <v>0.4868501526662467</v>
      </c>
      <c r="J14" s="185"/>
      <c r="K14" s="184">
        <f t="shared" si="4"/>
        <v>16766.22852091441</v>
      </c>
      <c r="M14" s="182">
        <f t="shared" si="5"/>
        <v>0.4868501526662472</v>
      </c>
      <c r="N14" s="185"/>
      <c r="O14" s="184">
        <f t="shared" si="6"/>
        <v>16766.228520914461</v>
      </c>
      <c r="P14" s="101"/>
      <c r="Q14" s="102">
        <f t="shared" si="7"/>
        <v>16766.228520914407</v>
      </c>
    </row>
    <row r="15" spans="1:17" x14ac:dyDescent="0.2">
      <c r="B15" s="57">
        <v>7</v>
      </c>
      <c r="C15" s="57">
        <v>46</v>
      </c>
      <c r="D15" s="57">
        <f>'Q3 Valuation Basis'!C12</f>
        <v>1.5409E-3</v>
      </c>
      <c r="E15" s="180">
        <f>'Q3 Valuation Basis'!$F$6*D15</f>
        <v>1.2327200000000001E-3</v>
      </c>
      <c r="F15" s="181">
        <f t="shared" si="0"/>
        <v>10.27639587287411</v>
      </c>
      <c r="G15" s="182">
        <f t="shared" si="1"/>
        <v>2.5292124112037614E-2</v>
      </c>
      <c r="H15" s="182">
        <f t="shared" si="2"/>
        <v>0.48535569146538537</v>
      </c>
      <c r="I15" s="182">
        <f t="shared" si="3"/>
        <v>0.510647815577423</v>
      </c>
      <c r="J15" s="185"/>
      <c r="K15" s="184">
        <f t="shared" si="4"/>
        <v>20626.249617630943</v>
      </c>
      <c r="M15" s="182">
        <f t="shared" si="5"/>
        <v>0.51064781557742345</v>
      </c>
      <c r="N15" s="185"/>
      <c r="O15" s="184">
        <f t="shared" si="6"/>
        <v>20626.249617630987</v>
      </c>
      <c r="P15" s="101"/>
      <c r="Q15" s="102">
        <f t="shared" si="7"/>
        <v>20626.249617630932</v>
      </c>
    </row>
    <row r="16" spans="1:17" x14ac:dyDescent="0.2">
      <c r="B16" s="57">
        <v>8</v>
      </c>
      <c r="C16" s="57">
        <v>47</v>
      </c>
      <c r="D16" s="57">
        <f>'Q3 Valuation Basis'!C13</f>
        <v>1.7118999999999999E-3</v>
      </c>
      <c r="E16" s="180">
        <f>'Q3 Valuation Basis'!$F$6*D16</f>
        <v>1.3695199999999999E-3</v>
      </c>
      <c r="F16" s="181">
        <f t="shared" si="0"/>
        <v>9.7522374446605973</v>
      </c>
      <c r="G16" s="182">
        <f t="shared" si="1"/>
        <v>2.5355266261465333E-2</v>
      </c>
      <c r="H16" s="182">
        <f t="shared" si="2"/>
        <v>0.51025247446898203</v>
      </c>
      <c r="I16" s="182">
        <f t="shared" si="3"/>
        <v>0.53560774073044737</v>
      </c>
      <c r="J16" s="185"/>
      <c r="K16" s="184">
        <f t="shared" si="4"/>
        <v>24674.791611974942</v>
      </c>
      <c r="M16" s="182">
        <f t="shared" si="5"/>
        <v>0.53560774073044781</v>
      </c>
      <c r="N16" s="185"/>
      <c r="O16" s="184">
        <f t="shared" si="6"/>
        <v>24674.791611974986</v>
      </c>
      <c r="P16" s="101"/>
      <c r="Q16" s="102">
        <f t="shared" si="7"/>
        <v>24674.791611974932</v>
      </c>
    </row>
    <row r="17" spans="2:17" x14ac:dyDescent="0.2">
      <c r="B17" s="57">
        <v>9</v>
      </c>
      <c r="C17" s="57">
        <v>48</v>
      </c>
      <c r="D17" s="57">
        <f>'Q3 Valuation Basis'!C14</f>
        <v>1.9075999999999997E-3</v>
      </c>
      <c r="E17" s="180">
        <f>'Q3 Valuation Basis'!$F$6*D17</f>
        <v>1.52608E-3</v>
      </c>
      <c r="F17" s="181">
        <f t="shared" si="0"/>
        <v>9.2024522593117997</v>
      </c>
      <c r="G17" s="182">
        <f t="shared" si="1"/>
        <v>2.5288142191032065E-2</v>
      </c>
      <c r="H17" s="182">
        <f t="shared" si="2"/>
        <v>0.53649984546078655</v>
      </c>
      <c r="I17" s="182">
        <f t="shared" si="3"/>
        <v>0.56178798765181859</v>
      </c>
      <c r="J17" s="185"/>
      <c r="K17" s="184">
        <f t="shared" si="4"/>
        <v>28921.271857154035</v>
      </c>
      <c r="M17" s="182">
        <f t="shared" si="5"/>
        <v>0.56178798765181903</v>
      </c>
      <c r="N17" s="185"/>
      <c r="O17" s="184">
        <f t="shared" si="6"/>
        <v>28921.271857154079</v>
      </c>
      <c r="P17" s="101"/>
      <c r="Q17" s="102">
        <f t="shared" si="7"/>
        <v>28921.271857154039</v>
      </c>
    </row>
    <row r="18" spans="2:17" x14ac:dyDescent="0.2">
      <c r="B18" s="57">
        <v>10</v>
      </c>
      <c r="C18" s="57">
        <v>49</v>
      </c>
      <c r="D18" s="57">
        <f>'Q3 Valuation Basis'!C15</f>
        <v>2.1289499999999997E-3</v>
      </c>
      <c r="E18" s="180">
        <f>'Q3 Valuation Basis'!$F$6*D18</f>
        <v>1.7031599999999998E-3</v>
      </c>
      <c r="F18" s="181">
        <f t="shared" si="0"/>
        <v>8.6257384391946772</v>
      </c>
      <c r="G18" s="182">
        <f t="shared" si="1"/>
        <v>2.5064720068585938E-2</v>
      </c>
      <c r="H18" s="182">
        <f t="shared" si="2"/>
        <v>0.56418583044595283</v>
      </c>
      <c r="I18" s="182">
        <f t="shared" si="3"/>
        <v>0.58925055051453878</v>
      </c>
      <c r="J18" s="185"/>
      <c r="K18" s="184">
        <f t="shared" si="4"/>
        <v>33375.745912680693</v>
      </c>
      <c r="M18" s="182">
        <f t="shared" si="5"/>
        <v>0.58925055051453923</v>
      </c>
      <c r="N18" s="185"/>
      <c r="O18" s="184">
        <f t="shared" si="6"/>
        <v>33375.745912680737</v>
      </c>
      <c r="P18" s="101"/>
      <c r="Q18" s="102">
        <f t="shared" si="7"/>
        <v>33375.745912680701</v>
      </c>
    </row>
    <row r="19" spans="2:17" x14ac:dyDescent="0.2">
      <c r="B19" s="57">
        <v>11</v>
      </c>
      <c r="C19" s="57">
        <v>50</v>
      </c>
      <c r="D19" s="57">
        <f>'Q3 Valuation Basis'!C16</f>
        <v>2.3825999999999999E-3</v>
      </c>
      <c r="E19" s="180">
        <f>'Q3 Valuation Basis'!$F$6*D19</f>
        <v>1.9060800000000001E-3</v>
      </c>
      <c r="F19" s="181">
        <f t="shared" si="0"/>
        <v>8.0206858725050285</v>
      </c>
      <c r="G19" s="182">
        <f t="shared" si="1"/>
        <v>2.4656790531376656E-2</v>
      </c>
      <c r="H19" s="182">
        <f t="shared" si="2"/>
        <v>0.59340578696838364</v>
      </c>
      <c r="I19" s="182">
        <f t="shared" si="3"/>
        <v>0.61806257749976035</v>
      </c>
      <c r="J19" s="185"/>
      <c r="K19" s="184">
        <f t="shared" si="4"/>
        <v>38049.105326889825</v>
      </c>
      <c r="M19" s="182">
        <f t="shared" si="5"/>
        <v>0.61806257749976057</v>
      </c>
      <c r="N19" s="185"/>
      <c r="O19" s="184">
        <f t="shared" si="6"/>
        <v>38049.105326889854</v>
      </c>
      <c r="P19" s="101"/>
      <c r="Q19" s="102">
        <f t="shared" si="7"/>
        <v>38049.10532688981</v>
      </c>
    </row>
    <row r="20" spans="2:17" x14ac:dyDescent="0.2">
      <c r="B20" s="57">
        <v>12</v>
      </c>
      <c r="C20" s="57">
        <v>51</v>
      </c>
      <c r="D20" s="57">
        <f>'Q3 Valuation Basis'!C17</f>
        <v>2.6685499999999996E-3</v>
      </c>
      <c r="E20" s="180">
        <f>'Q3 Valuation Basis'!$F$6*D20</f>
        <v>2.1348399999999998E-3</v>
      </c>
      <c r="F20" s="181">
        <f t="shared" si="0"/>
        <v>7.3857980881501417</v>
      </c>
      <c r="G20" s="182">
        <f t="shared" si="1"/>
        <v>2.4029351925062812E-2</v>
      </c>
      <c r="H20" s="182">
        <f t="shared" si="2"/>
        <v>0.62426597721064447</v>
      </c>
      <c r="I20" s="182">
        <f t="shared" si="3"/>
        <v>0.64829532913570731</v>
      </c>
      <c r="J20" s="185"/>
      <c r="K20" s="184">
        <f t="shared" si="4"/>
        <v>42952.908677753345</v>
      </c>
      <c r="M20" s="182">
        <f t="shared" si="5"/>
        <v>0.64829532913570753</v>
      </c>
      <c r="N20" s="185"/>
      <c r="O20" s="184">
        <f t="shared" si="6"/>
        <v>42952.908677753367</v>
      </c>
      <c r="P20" s="101"/>
      <c r="Q20" s="102">
        <f t="shared" si="7"/>
        <v>42952.90867775333</v>
      </c>
    </row>
    <row r="21" spans="2:17" x14ac:dyDescent="0.2">
      <c r="B21" s="57">
        <v>13</v>
      </c>
      <c r="C21" s="57">
        <v>52</v>
      </c>
      <c r="D21" s="57">
        <f>'Q3 Valuation Basis'!C18</f>
        <v>2.9943999999999999E-3</v>
      </c>
      <c r="E21" s="180">
        <f>'Q3 Valuation Basis'!$F$6*D21</f>
        <v>2.3955199999999999E-3</v>
      </c>
      <c r="F21" s="181">
        <f t="shared" si="0"/>
        <v>6.7194329067041974</v>
      </c>
      <c r="G21" s="182">
        <f t="shared" si="1"/>
        <v>2.3145391228325832E-2</v>
      </c>
      <c r="H21" s="182">
        <f t="shared" si="2"/>
        <v>0.65688161321433114</v>
      </c>
      <c r="I21" s="182">
        <f t="shared" si="3"/>
        <v>0.68002700444265696</v>
      </c>
      <c r="J21" s="185"/>
      <c r="K21" s="184">
        <f t="shared" si="4"/>
        <v>48099.839978366959</v>
      </c>
      <c r="M21" s="182">
        <f t="shared" si="5"/>
        <v>0.68002700444265729</v>
      </c>
      <c r="N21" s="185"/>
      <c r="O21" s="184">
        <f t="shared" si="6"/>
        <v>48099.839978367003</v>
      </c>
      <c r="P21" s="101"/>
      <c r="Q21" s="102">
        <f t="shared" si="7"/>
        <v>48099.839978366967</v>
      </c>
    </row>
    <row r="22" spans="2:17" x14ac:dyDescent="0.2">
      <c r="B22" s="57">
        <v>14</v>
      </c>
      <c r="C22" s="57">
        <v>53</v>
      </c>
      <c r="D22" s="57">
        <f>'Q3 Valuation Basis'!C19</f>
        <v>3.3620499999999997E-3</v>
      </c>
      <c r="E22" s="180">
        <f>'Q3 Valuation Basis'!$F$6*D22</f>
        <v>2.6896400000000001E-3</v>
      </c>
      <c r="F22" s="181">
        <f t="shared" si="0"/>
        <v>6.0198251636153515</v>
      </c>
      <c r="G22" s="182">
        <f t="shared" si="1"/>
        <v>2.1959745800000943E-2</v>
      </c>
      <c r="H22" s="182">
        <f t="shared" si="2"/>
        <v>0.69138191307545815</v>
      </c>
      <c r="I22" s="182">
        <f t="shared" si="3"/>
        <v>0.71334165887545908</v>
      </c>
      <c r="J22" s="185"/>
      <c r="K22" s="184">
        <f t="shared" si="4"/>
        <v>53503.533165400222</v>
      </c>
      <c r="M22" s="182">
        <f t="shared" si="5"/>
        <v>0.71334165887545953</v>
      </c>
      <c r="N22" s="185"/>
      <c r="O22" s="184">
        <f t="shared" si="6"/>
        <v>53503.533165400266</v>
      </c>
      <c r="P22" s="101"/>
      <c r="Q22" s="102">
        <f t="shared" si="7"/>
        <v>53503.533165400244</v>
      </c>
    </row>
    <row r="23" spans="2:17" x14ac:dyDescent="0.2">
      <c r="B23" s="57">
        <v>15</v>
      </c>
      <c r="C23" s="57">
        <v>54</v>
      </c>
      <c r="D23" s="57">
        <f>'Q3 Valuation Basis'!C20</f>
        <v>3.7772000000000001E-3</v>
      </c>
      <c r="E23" s="180">
        <f>'Q3 Valuation Basis'!$F$6*D23</f>
        <v>3.0217600000000001E-3</v>
      </c>
      <c r="F23" s="181">
        <f t="shared" si="0"/>
        <v>5.2850312532561272</v>
      </c>
      <c r="G23" s="182">
        <f t="shared" si="1"/>
        <v>2.0423023671388506E-2</v>
      </c>
      <c r="H23" s="182">
        <f t="shared" si="2"/>
        <v>0.72790882141165281</v>
      </c>
      <c r="I23" s="182">
        <f t="shared" si="3"/>
        <v>0.74833184508304129</v>
      </c>
      <c r="J23" s="185"/>
      <c r="K23" s="184">
        <f t="shared" si="4"/>
        <v>59179.000434746093</v>
      </c>
      <c r="M23" s="182">
        <f t="shared" si="5"/>
        <v>0.74833184508304162</v>
      </c>
      <c r="N23" s="185"/>
      <c r="O23" s="184">
        <f t="shared" si="6"/>
        <v>59179.000434746122</v>
      </c>
      <c r="P23" s="101"/>
      <c r="Q23" s="102">
        <f t="shared" si="7"/>
        <v>59179.0004347461</v>
      </c>
    </row>
    <row r="24" spans="2:17" x14ac:dyDescent="0.2">
      <c r="B24" s="57">
        <v>16</v>
      </c>
      <c r="C24" s="57">
        <v>55</v>
      </c>
      <c r="D24" s="57">
        <f>'Q3 Valuation Basis'!C21</f>
        <v>4.2455499999999998E-3</v>
      </c>
      <c r="E24" s="180">
        <f>'Q3 Valuation Basis'!$F$6*D24</f>
        <v>3.3964400000000001E-3</v>
      </c>
      <c r="F24" s="181">
        <f t="shared" si="0"/>
        <v>4.5129197763824145</v>
      </c>
      <c r="G24" s="182">
        <f t="shared" si="1"/>
        <v>1.8478251696805271E-2</v>
      </c>
      <c r="H24" s="182">
        <f t="shared" si="2"/>
        <v>0.76662080657069853</v>
      </c>
      <c r="I24" s="182">
        <f t="shared" si="3"/>
        <v>0.78509905826750381</v>
      </c>
      <c r="J24" s="185"/>
      <c r="K24" s="184">
        <f t="shared" si="4"/>
        <v>65142.704479517983</v>
      </c>
      <c r="M24" s="182">
        <f t="shared" si="5"/>
        <v>0.78509905826750415</v>
      </c>
      <c r="N24" s="185"/>
      <c r="O24" s="184">
        <f t="shared" si="6"/>
        <v>65142.704479518012</v>
      </c>
      <c r="P24" s="101"/>
      <c r="Q24" s="102">
        <f t="shared" si="7"/>
        <v>65142.704479517975</v>
      </c>
    </row>
    <row r="25" spans="2:17" x14ac:dyDescent="0.2">
      <c r="B25" s="57">
        <v>17</v>
      </c>
      <c r="C25" s="57">
        <v>56</v>
      </c>
      <c r="D25" s="57">
        <f>'Q3 Valuation Basis'!C22</f>
        <v>4.7737499999999993E-3</v>
      </c>
      <c r="E25" s="180">
        <f>'Q3 Valuation Basis'!$F$6*D25</f>
        <v>3.8189999999999995E-3</v>
      </c>
      <c r="F25" s="181">
        <f t="shared" si="0"/>
        <v>3.7011364530962898</v>
      </c>
      <c r="G25" s="182">
        <f t="shared" si="1"/>
        <v>1.6060272031985852E-2</v>
      </c>
      <c r="H25" s="182">
        <f t="shared" si="2"/>
        <v>0.8076951349634286</v>
      </c>
      <c r="I25" s="182">
        <f t="shared" si="3"/>
        <v>0.8237554069954145</v>
      </c>
      <c r="J25" s="185"/>
      <c r="K25" s="184">
        <f t="shared" si="4"/>
        <v>71412.829498462175</v>
      </c>
      <c r="M25" s="182">
        <f t="shared" si="5"/>
        <v>0.82375540699541472</v>
      </c>
      <c r="N25" s="185"/>
      <c r="O25" s="184">
        <f t="shared" si="6"/>
        <v>71412.82949846219</v>
      </c>
      <c r="P25" s="101"/>
      <c r="Q25" s="102">
        <f t="shared" si="7"/>
        <v>71412.829498462175</v>
      </c>
    </row>
    <row r="26" spans="2:17" x14ac:dyDescent="0.2">
      <c r="B26" s="57">
        <v>18</v>
      </c>
      <c r="C26" s="57">
        <v>57</v>
      </c>
      <c r="D26" s="57">
        <f>'Q3 Valuation Basis'!C23</f>
        <v>5.367499999999999E-3</v>
      </c>
      <c r="E26" s="180">
        <f>'Q3 Valuation Basis'!$F$6*D26</f>
        <v>4.2939999999999992E-3</v>
      </c>
      <c r="F26" s="181">
        <f t="shared" si="0"/>
        <v>2.8470662216515916</v>
      </c>
      <c r="G26" s="182">
        <f t="shared" si="1"/>
        <v>1.3094292737549846E-2</v>
      </c>
      <c r="H26" s="182">
        <f t="shared" si="2"/>
        <v>0.85133112527904076</v>
      </c>
      <c r="I26" s="182">
        <f t="shared" si="3"/>
        <v>0.86442541801659056</v>
      </c>
      <c r="J26" s="185"/>
      <c r="K26" s="184">
        <f t="shared" si="4"/>
        <v>78009.573940611008</v>
      </c>
      <c r="M26" s="182">
        <f t="shared" si="5"/>
        <v>0.8644254180165909</v>
      </c>
      <c r="N26" s="185"/>
      <c r="O26" s="184">
        <f t="shared" si="6"/>
        <v>78009.573940611037</v>
      </c>
      <c r="P26" s="101"/>
      <c r="Q26" s="102">
        <f t="shared" si="7"/>
        <v>78009.573940611037</v>
      </c>
    </row>
    <row r="27" spans="2:17" x14ac:dyDescent="0.2">
      <c r="B27" s="57">
        <v>19</v>
      </c>
      <c r="C27" s="57">
        <v>58</v>
      </c>
      <c r="D27" s="57">
        <f>'Q3 Valuation Basis'!C24</f>
        <v>6.0343999999999997E-3</v>
      </c>
      <c r="E27" s="180">
        <f>'Q3 Valuation Basis'!$F$6*D27</f>
        <v>4.8275200000000001E-3</v>
      </c>
      <c r="F27" s="181">
        <f t="shared" si="0"/>
        <v>1.9477833142857142</v>
      </c>
      <c r="G27" s="182">
        <f t="shared" si="1"/>
        <v>9.4957822634666664E-3</v>
      </c>
      <c r="H27" s="182">
        <f t="shared" si="2"/>
        <v>0.89775263134197536</v>
      </c>
      <c r="I27" s="182">
        <f t="shared" si="3"/>
        <v>0.90724841360544206</v>
      </c>
      <c r="J27" s="185"/>
      <c r="K27" s="184">
        <f t="shared" si="4"/>
        <v>84955.536114061906</v>
      </c>
      <c r="M27" s="182">
        <f t="shared" si="5"/>
        <v>0.90724841360544217</v>
      </c>
      <c r="N27" s="185"/>
      <c r="O27" s="184">
        <f t="shared" si="6"/>
        <v>84955.536114061921</v>
      </c>
      <c r="P27" s="101"/>
      <c r="Q27" s="102">
        <f t="shared" si="7"/>
        <v>84955.536114061906</v>
      </c>
    </row>
    <row r="28" spans="2:17" x14ac:dyDescent="0.2">
      <c r="B28" s="57">
        <v>20</v>
      </c>
      <c r="C28" s="57">
        <v>59</v>
      </c>
      <c r="D28" s="57">
        <f>'Q3 Valuation Basis'!C25</f>
        <v>6.7829999999999991E-3</v>
      </c>
      <c r="E28" s="180">
        <f>'Q3 Valuation Basis'!$F$6*D28</f>
        <v>5.4263999999999996E-3</v>
      </c>
      <c r="F28" s="181">
        <v>1</v>
      </c>
      <c r="G28" s="182">
        <f t="shared" si="1"/>
        <v>5.1679999999999999E-3</v>
      </c>
      <c r="H28" s="182">
        <f>(1-E28)/(1+ival)</f>
        <v>0.94721295238095227</v>
      </c>
      <c r="I28" s="182">
        <f t="shared" si="3"/>
        <v>0.95238095238095222</v>
      </c>
      <c r="J28" s="185"/>
      <c r="K28" s="184">
        <f t="shared" si="4"/>
        <v>92276.110091098511</v>
      </c>
      <c r="M28" s="182">
        <f t="shared" si="5"/>
        <v>0.95238095238095233</v>
      </c>
      <c r="N28" s="185"/>
      <c r="O28" s="184">
        <f t="shared" si="6"/>
        <v>92276.110091098526</v>
      </c>
      <c r="P28" s="101"/>
      <c r="Q28" s="102">
        <f t="shared" si="7"/>
        <v>92276.110091098526</v>
      </c>
    </row>
  </sheetData>
  <mergeCells count="2">
    <mergeCell ref="G4:K4"/>
    <mergeCell ref="M4:O4"/>
  </mergeCells>
  <printOptions gridLines="1"/>
  <pageMargins left="0.7" right="0.7" top="0.75" bottom="0.75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3" workbookViewId="0">
      <selection activeCell="J33" sqref="J33"/>
    </sheetView>
  </sheetViews>
  <sheetFormatPr defaultRowHeight="12.75" x14ac:dyDescent="0.2"/>
  <cols>
    <col min="1" max="1" width="9.140625" style="7"/>
    <col min="2" max="2" width="7" style="7" customWidth="1"/>
    <col min="3" max="3" width="9.140625" style="7"/>
    <col min="4" max="4" width="3.85546875" style="7" customWidth="1"/>
    <col min="5" max="6" width="9.140625" style="7"/>
    <col min="7" max="7" width="16.5703125" style="7" bestFit="1" customWidth="1"/>
    <col min="8" max="8" width="11.7109375" style="7" bestFit="1" customWidth="1"/>
    <col min="9" max="9" width="9.140625" style="7"/>
    <col min="10" max="10" width="9.5703125" style="7" bestFit="1" customWidth="1"/>
    <col min="11" max="11" width="12.85546875" style="7" bestFit="1" customWidth="1"/>
    <col min="12" max="12" width="2.42578125" style="7" customWidth="1"/>
    <col min="13" max="13" width="14.42578125" style="7" customWidth="1"/>
    <col min="14" max="16384" width="9.140625" style="7"/>
  </cols>
  <sheetData>
    <row r="2" spans="1:13" s="2" customFormat="1" ht="25.5" x14ac:dyDescent="0.35">
      <c r="A2" s="52" t="s">
        <v>165</v>
      </c>
    </row>
    <row r="4" spans="1:13" x14ac:dyDescent="0.2">
      <c r="K4" s="98" t="s">
        <v>152</v>
      </c>
      <c r="M4" s="5" t="s">
        <v>153</v>
      </c>
    </row>
    <row r="6" spans="1:13" s="10" customFormat="1" x14ac:dyDescent="0.2">
      <c r="D6" s="7"/>
      <c r="E6" s="103" t="s">
        <v>13</v>
      </c>
      <c r="F6" s="103" t="s">
        <v>13</v>
      </c>
      <c r="G6" s="103" t="s">
        <v>10</v>
      </c>
      <c r="H6" s="103" t="s">
        <v>10</v>
      </c>
      <c r="I6" s="103" t="s">
        <v>10</v>
      </c>
      <c r="J6" s="103" t="s">
        <v>13</v>
      </c>
      <c r="K6" s="103" t="s">
        <v>10</v>
      </c>
      <c r="M6" s="103" t="s">
        <v>10</v>
      </c>
    </row>
    <row r="7" spans="1:13" x14ac:dyDescent="0.2">
      <c r="L7" s="10"/>
    </row>
    <row r="8" spans="1:13" ht="15" x14ac:dyDescent="0.2">
      <c r="B8" s="20" t="s">
        <v>125</v>
      </c>
      <c r="C8" s="20" t="s">
        <v>4</v>
      </c>
      <c r="E8" s="20" t="s">
        <v>166</v>
      </c>
      <c r="F8" s="20" t="s">
        <v>167</v>
      </c>
      <c r="G8" s="20" t="s">
        <v>168</v>
      </c>
      <c r="H8" s="20" t="s">
        <v>169</v>
      </c>
      <c r="I8" s="20" t="s">
        <v>170</v>
      </c>
      <c r="J8" s="20" t="s">
        <v>171</v>
      </c>
      <c r="K8" s="20" t="s">
        <v>172</v>
      </c>
      <c r="L8" s="10"/>
      <c r="M8" s="20" t="s">
        <v>172</v>
      </c>
    </row>
    <row r="9" spans="1:13" x14ac:dyDescent="0.2">
      <c r="B9" s="6">
        <v>40</v>
      </c>
      <c r="C9" s="57">
        <f>'Q3 Profit Test Basis'!C8</f>
        <v>9.3700000000000001E-4</v>
      </c>
      <c r="E9" s="186">
        <f>C9*'Q3 Profit Test Basis'!$F$12</f>
        <v>8.4330000000000006E-4</v>
      </c>
      <c r="F9" s="187">
        <f>'Q3 Profit Test Basis'!F7</f>
        <v>0.1</v>
      </c>
      <c r="G9" s="188">
        <f t="shared" ref="G9:G28" si="0">-LN(1-E9)</f>
        <v>8.4365577747715157E-4</v>
      </c>
      <c r="H9" s="189">
        <f t="shared" ref="H9:H28" si="1">-LN(1-F9)</f>
        <v>0.10536051565782628</v>
      </c>
      <c r="I9" s="190">
        <f t="shared" ref="I9:I28" si="2">EXP(-(G9+H9))</f>
        <v>0.89924103</v>
      </c>
      <c r="J9" s="191">
        <f t="shared" ref="J9:J28" si="3">(G9/(G9+H9))*(1-I9)</f>
        <v>8.0040064363131138E-4</v>
      </c>
      <c r="K9" s="191">
        <f t="shared" ref="K9:K28" si="4">(H9/(G9+H9))*(1-I9)</f>
        <v>9.9958569356368696E-2</v>
      </c>
      <c r="L9" s="10"/>
      <c r="M9" s="191">
        <f t="shared" ref="M9:M28" si="5">1-I9-J9</f>
        <v>9.9958569356368696E-2</v>
      </c>
    </row>
    <row r="10" spans="1:13" x14ac:dyDescent="0.2">
      <c r="B10" s="6">
        <v>41</v>
      </c>
      <c r="C10" s="57">
        <f>'Q3 Profit Test Basis'!C9</f>
        <v>1.0139999999999999E-3</v>
      </c>
      <c r="E10" s="186">
        <f>C10*'Q3 Profit Test Basis'!$F$12</f>
        <v>9.1259999999999996E-4</v>
      </c>
      <c r="F10" s="187">
        <f>'Q3 Profit Test Basis'!F8</f>
        <v>0.05</v>
      </c>
      <c r="G10" s="188">
        <f t="shared" si="0"/>
        <v>9.1301667290312374E-4</v>
      </c>
      <c r="H10" s="189">
        <f t="shared" si="1"/>
        <v>5.1293294387550578E-2</v>
      </c>
      <c r="I10" s="190">
        <f t="shared" si="2"/>
        <v>0.94913302999999993</v>
      </c>
      <c r="J10" s="191">
        <f t="shared" si="3"/>
        <v>8.8959343739656031E-4</v>
      </c>
      <c r="K10" s="191">
        <f t="shared" si="4"/>
        <v>4.9977376562603502E-2</v>
      </c>
      <c r="L10" s="10"/>
      <c r="M10" s="191">
        <f t="shared" si="5"/>
        <v>4.9977376562603509E-2</v>
      </c>
    </row>
    <row r="11" spans="1:13" x14ac:dyDescent="0.2">
      <c r="B11" s="6">
        <v>42</v>
      </c>
      <c r="C11" s="57">
        <f>'Q3 Profit Test Basis'!C10</f>
        <v>1.1039999999999999E-3</v>
      </c>
      <c r="E11" s="186">
        <f>C11*'Q3 Profit Test Basis'!$F$12</f>
        <v>9.9360000000000008E-4</v>
      </c>
      <c r="F11" s="187">
        <f>'Q3 Profit Test Basis'!F$9</f>
        <v>2.5000000000000001E-2</v>
      </c>
      <c r="G11" s="188">
        <f t="shared" si="0"/>
        <v>9.9409394769809983E-4</v>
      </c>
      <c r="H11" s="189">
        <f t="shared" si="1"/>
        <v>2.5317807984289897E-2</v>
      </c>
      <c r="I11" s="190">
        <f t="shared" si="2"/>
        <v>0.97403123999999996</v>
      </c>
      <c r="J11" s="191">
        <f t="shared" si="3"/>
        <v>9.8112965045070227E-4</v>
      </c>
      <c r="K11" s="191">
        <f t="shared" si="4"/>
        <v>2.4987630349549334E-2</v>
      </c>
      <c r="L11" s="10"/>
      <c r="M11" s="191">
        <f t="shared" si="5"/>
        <v>2.4987630349549334E-2</v>
      </c>
    </row>
    <row r="12" spans="1:13" x14ac:dyDescent="0.2">
      <c r="B12" s="6">
        <v>43</v>
      </c>
      <c r="C12" s="57">
        <f>'Q3 Profit Test Basis'!C11</f>
        <v>1.2080000000000001E-3</v>
      </c>
      <c r="E12" s="186">
        <f>C12*'Q3 Profit Test Basis'!$F$12</f>
        <v>1.0872000000000002E-3</v>
      </c>
      <c r="F12" s="187">
        <f>'Q3 Profit Test Basis'!F$9</f>
        <v>2.5000000000000001E-2</v>
      </c>
      <c r="G12" s="188">
        <f t="shared" si="0"/>
        <v>1.0877914306277338E-3</v>
      </c>
      <c r="H12" s="189">
        <f t="shared" si="1"/>
        <v>2.5317807984289897E-2</v>
      </c>
      <c r="I12" s="190">
        <f t="shared" si="2"/>
        <v>0.97393998000000004</v>
      </c>
      <c r="J12" s="191">
        <f t="shared" si="3"/>
        <v>1.0735551195998382E-3</v>
      </c>
      <c r="K12" s="191">
        <f t="shared" si="4"/>
        <v>2.4986464880400124E-2</v>
      </c>
      <c r="L12" s="10"/>
      <c r="M12" s="191">
        <f t="shared" si="5"/>
        <v>2.4986464880400124E-2</v>
      </c>
    </row>
    <row r="13" spans="1:13" x14ac:dyDescent="0.2">
      <c r="B13" s="6">
        <v>44</v>
      </c>
      <c r="C13" s="57">
        <f>'Q3 Profit Test Basis'!C12</f>
        <v>1.3270000000000001E-3</v>
      </c>
      <c r="E13" s="186">
        <f>C13*'Q3 Profit Test Basis'!$F$12</f>
        <v>1.1943000000000001E-3</v>
      </c>
      <c r="F13" s="187">
        <f>'Q3 Profit Test Basis'!F$9</f>
        <v>2.5000000000000001E-2</v>
      </c>
      <c r="G13" s="188">
        <f t="shared" si="0"/>
        <v>1.1950137445850145E-3</v>
      </c>
      <c r="H13" s="189">
        <f t="shared" si="1"/>
        <v>2.5317807984289897E-2</v>
      </c>
      <c r="I13" s="190">
        <f t="shared" si="2"/>
        <v>0.97383555749999995</v>
      </c>
      <c r="J13" s="191">
        <f t="shared" si="3"/>
        <v>1.1793112301151957E-3</v>
      </c>
      <c r="K13" s="191">
        <f t="shared" si="4"/>
        <v>2.4985131269884855E-2</v>
      </c>
      <c r="L13" s="10"/>
      <c r="M13" s="191">
        <f t="shared" si="5"/>
        <v>2.4985131269884855E-2</v>
      </c>
    </row>
    <row r="14" spans="1:13" x14ac:dyDescent="0.2">
      <c r="B14" s="6">
        <v>45</v>
      </c>
      <c r="C14" s="57">
        <f>'Q3 Profit Test Basis'!C13</f>
        <v>1.4649999999999999E-3</v>
      </c>
      <c r="E14" s="186">
        <f>C14*'Q3 Profit Test Basis'!$F$12</f>
        <v>1.3185E-3</v>
      </c>
      <c r="F14" s="187">
        <f>'Q3 Profit Test Basis'!F$9</f>
        <v>2.5000000000000001E-2</v>
      </c>
      <c r="G14" s="188">
        <f t="shared" si="0"/>
        <v>1.3193699859267124E-3</v>
      </c>
      <c r="H14" s="189">
        <f t="shared" si="1"/>
        <v>2.5317807984289897E-2</v>
      </c>
      <c r="I14" s="190">
        <f t="shared" si="2"/>
        <v>0.97371446249999993</v>
      </c>
      <c r="J14" s="191">
        <f t="shared" si="3"/>
        <v>1.3019528299967708E-3</v>
      </c>
      <c r="K14" s="191">
        <f t="shared" si="4"/>
        <v>2.4983584670003296E-2</v>
      </c>
      <c r="L14" s="10"/>
      <c r="M14" s="191">
        <f t="shared" si="5"/>
        <v>2.4983584670003296E-2</v>
      </c>
    </row>
    <row r="15" spans="1:13" x14ac:dyDescent="0.2">
      <c r="B15" s="6">
        <v>46</v>
      </c>
      <c r="C15" s="57">
        <f>'Q3 Profit Test Basis'!C14</f>
        <v>1.622E-3</v>
      </c>
      <c r="E15" s="186">
        <f>C15*'Q3 Profit Test Basis'!$F$12</f>
        <v>1.4598E-3</v>
      </c>
      <c r="F15" s="187">
        <f>'Q3 Profit Test Basis'!F$9</f>
        <v>2.5000000000000001E-2</v>
      </c>
      <c r="G15" s="188">
        <f t="shared" si="0"/>
        <v>1.4608665461090509E-3</v>
      </c>
      <c r="H15" s="189">
        <f t="shared" si="1"/>
        <v>2.5317807984289897E-2</v>
      </c>
      <c r="I15" s="190">
        <f t="shared" si="2"/>
        <v>0.97357669499999999</v>
      </c>
      <c r="J15" s="191">
        <f t="shared" si="3"/>
        <v>1.4414799458545475E-3</v>
      </c>
      <c r="K15" s="191">
        <f t="shared" si="4"/>
        <v>2.4981825054145458E-2</v>
      </c>
      <c r="L15" s="10"/>
      <c r="M15" s="191">
        <f t="shared" si="5"/>
        <v>2.4981825054145462E-2</v>
      </c>
    </row>
    <row r="16" spans="1:13" x14ac:dyDescent="0.2">
      <c r="B16" s="6">
        <v>47</v>
      </c>
      <c r="C16" s="57">
        <f>'Q3 Profit Test Basis'!C15</f>
        <v>1.802E-3</v>
      </c>
      <c r="E16" s="186">
        <f>C16*'Q3 Profit Test Basis'!$F$12</f>
        <v>1.6218000000000001E-3</v>
      </c>
      <c r="F16" s="187">
        <f>'Q3 Profit Test Basis'!F$9</f>
        <v>2.5000000000000001E-2</v>
      </c>
      <c r="G16" s="188">
        <f t="shared" si="0"/>
        <v>1.6231165412569587E-3</v>
      </c>
      <c r="H16" s="189">
        <f t="shared" si="1"/>
        <v>2.5317807984289897E-2</v>
      </c>
      <c r="I16" s="190">
        <f t="shared" si="2"/>
        <v>0.97341874499999992</v>
      </c>
      <c r="J16" s="191">
        <f t="shared" si="3"/>
        <v>1.601447442420078E-3</v>
      </c>
      <c r="K16" s="191">
        <f t="shared" si="4"/>
        <v>2.4979807557579999E-2</v>
      </c>
      <c r="L16" s="10"/>
      <c r="M16" s="191">
        <f t="shared" si="5"/>
        <v>2.4979807557580003E-2</v>
      </c>
    </row>
    <row r="17" spans="2:13" x14ac:dyDescent="0.2">
      <c r="B17" s="6">
        <v>48</v>
      </c>
      <c r="C17" s="57">
        <f>'Q3 Profit Test Basis'!C16</f>
        <v>2.0079999999999998E-3</v>
      </c>
      <c r="E17" s="186">
        <f>C17*'Q3 Profit Test Basis'!$F$12</f>
        <v>1.8071999999999999E-3</v>
      </c>
      <c r="F17" s="187">
        <f>'Q3 Profit Test Basis'!F$9</f>
        <v>2.5000000000000001E-2</v>
      </c>
      <c r="G17" s="188">
        <f t="shared" si="0"/>
        <v>1.8088349560119493E-3</v>
      </c>
      <c r="H17" s="189">
        <f t="shared" si="1"/>
        <v>2.5317807984289897E-2</v>
      </c>
      <c r="I17" s="190">
        <f t="shared" si="2"/>
        <v>0.97323797999999995</v>
      </c>
      <c r="J17" s="191">
        <f t="shared" si="3"/>
        <v>1.7845214896669538E-3</v>
      </c>
      <c r="K17" s="191">
        <f t="shared" si="4"/>
        <v>2.4977498510333099E-2</v>
      </c>
      <c r="L17" s="10"/>
      <c r="M17" s="191">
        <f t="shared" si="5"/>
        <v>2.4977498510333099E-2</v>
      </c>
    </row>
    <row r="18" spans="2:13" x14ac:dyDescent="0.2">
      <c r="B18" s="6">
        <v>49</v>
      </c>
      <c r="C18" s="57">
        <f>'Q3 Profit Test Basis'!C17</f>
        <v>2.2409999999999999E-3</v>
      </c>
      <c r="E18" s="186">
        <f>C18*'Q3 Profit Test Basis'!$F$12</f>
        <v>2.0168999999999999E-3</v>
      </c>
      <c r="F18" s="187">
        <f>'Q3 Profit Test Basis'!F$9</f>
        <v>2.5000000000000001E-2</v>
      </c>
      <c r="G18" s="188">
        <f t="shared" si="0"/>
        <v>2.0189366817880933E-3</v>
      </c>
      <c r="H18" s="189">
        <f t="shared" si="1"/>
        <v>2.5317807984289897E-2</v>
      </c>
      <c r="I18" s="190">
        <f t="shared" si="2"/>
        <v>0.97303352249999997</v>
      </c>
      <c r="J18" s="191">
        <f t="shared" si="3"/>
        <v>1.9915908521076432E-3</v>
      </c>
      <c r="K18" s="191">
        <f t="shared" si="4"/>
        <v>2.4974886647892387E-2</v>
      </c>
      <c r="L18" s="10"/>
      <c r="M18" s="191">
        <f t="shared" si="5"/>
        <v>2.4974886647892387E-2</v>
      </c>
    </row>
    <row r="19" spans="2:13" x14ac:dyDescent="0.2">
      <c r="B19" s="6">
        <v>50</v>
      </c>
      <c r="C19" s="57">
        <f>'Q3 Profit Test Basis'!C18</f>
        <v>2.5079999999999998E-3</v>
      </c>
      <c r="E19" s="186">
        <f>C19*'Q3 Profit Test Basis'!$F$12</f>
        <v>2.2572E-3</v>
      </c>
      <c r="F19" s="187">
        <f>'Q3 Profit Test Basis'!F$9</f>
        <v>2.5000000000000001E-2</v>
      </c>
      <c r="G19" s="188">
        <f t="shared" si="0"/>
        <v>2.2597513158630978E-3</v>
      </c>
      <c r="H19" s="189">
        <f t="shared" si="1"/>
        <v>2.5317807984289897E-2</v>
      </c>
      <c r="I19" s="190">
        <f t="shared" si="2"/>
        <v>0.97279923000000001</v>
      </c>
      <c r="J19" s="191">
        <f t="shared" si="3"/>
        <v>2.2288765706560709E-3</v>
      </c>
      <c r="K19" s="191">
        <f t="shared" si="4"/>
        <v>2.4971893429343917E-2</v>
      </c>
      <c r="L19" s="10"/>
      <c r="M19" s="191">
        <f t="shared" si="5"/>
        <v>2.4971893429343913E-2</v>
      </c>
    </row>
    <row r="20" spans="2:13" x14ac:dyDescent="0.2">
      <c r="B20" s="6">
        <v>51</v>
      </c>
      <c r="C20" s="57">
        <f>'Q3 Profit Test Basis'!C19</f>
        <v>2.8089999999999999E-3</v>
      </c>
      <c r="E20" s="186">
        <f>C20*'Q3 Profit Test Basis'!$F$12</f>
        <v>2.5281000000000001E-3</v>
      </c>
      <c r="F20" s="187">
        <f>'Q3 Profit Test Basis'!F$9</f>
        <v>2.5000000000000001E-2</v>
      </c>
      <c r="G20" s="188">
        <f t="shared" si="0"/>
        <v>2.5313010409776307E-3</v>
      </c>
      <c r="H20" s="189">
        <f t="shared" si="1"/>
        <v>2.5317807984289897E-2</v>
      </c>
      <c r="I20" s="190">
        <f t="shared" si="2"/>
        <v>0.97253510249999997</v>
      </c>
      <c r="J20" s="191">
        <f t="shared" si="3"/>
        <v>2.4963787376111992E-3</v>
      </c>
      <c r="K20" s="191">
        <f t="shared" si="4"/>
        <v>2.4968518762388831E-2</v>
      </c>
      <c r="L20" s="10"/>
      <c r="M20" s="191">
        <f t="shared" si="5"/>
        <v>2.4968518762388831E-2</v>
      </c>
    </row>
    <row r="21" spans="2:13" x14ac:dyDescent="0.2">
      <c r="B21" s="6">
        <v>52</v>
      </c>
      <c r="C21" s="57">
        <f>'Q3 Profit Test Basis'!C20</f>
        <v>3.1519999999999999E-3</v>
      </c>
      <c r="E21" s="186">
        <f>C21*'Q3 Profit Test Basis'!$F$12</f>
        <v>2.8368E-3</v>
      </c>
      <c r="F21" s="187">
        <f>'Q3 Profit Test Basis'!F$9</f>
        <v>2.5000000000000001E-2</v>
      </c>
      <c r="G21" s="188">
        <f t="shared" si="0"/>
        <v>2.8408313430009196E-3</v>
      </c>
      <c r="H21" s="189">
        <f t="shared" si="1"/>
        <v>2.5317807984289897E-2</v>
      </c>
      <c r="I21" s="190">
        <f t="shared" si="2"/>
        <v>0.97223411999999998</v>
      </c>
      <c r="J21" s="191">
        <f t="shared" si="3"/>
        <v>2.8012071625050147E-3</v>
      </c>
      <c r="K21" s="191">
        <f t="shared" si="4"/>
        <v>2.4964672837495004E-2</v>
      </c>
      <c r="L21" s="10"/>
      <c r="M21" s="191">
        <f t="shared" si="5"/>
        <v>2.4964672837495004E-2</v>
      </c>
    </row>
    <row r="22" spans="2:13" x14ac:dyDescent="0.2">
      <c r="B22" s="6">
        <v>53</v>
      </c>
      <c r="C22" s="57">
        <f>'Q3 Profit Test Basis'!C21</f>
        <v>3.539E-3</v>
      </c>
      <c r="E22" s="186">
        <f>C22*'Q3 Profit Test Basis'!$F$12</f>
        <v>3.1851000000000002E-3</v>
      </c>
      <c r="F22" s="187">
        <f>'Q3 Profit Test Basis'!F$9</f>
        <v>2.5000000000000001E-2</v>
      </c>
      <c r="G22" s="188">
        <f t="shared" si="0"/>
        <v>3.1901832276003397E-3</v>
      </c>
      <c r="H22" s="189">
        <f t="shared" si="1"/>
        <v>2.5317807984289897E-2</v>
      </c>
      <c r="I22" s="190">
        <f t="shared" si="2"/>
        <v>0.97189452749999994</v>
      </c>
      <c r="J22" s="191">
        <f t="shared" si="3"/>
        <v>3.1451394209735242E-3</v>
      </c>
      <c r="K22" s="191">
        <f t="shared" si="4"/>
        <v>2.4960333079026537E-2</v>
      </c>
      <c r="L22" s="10"/>
      <c r="M22" s="191">
        <f t="shared" si="5"/>
        <v>2.4960333079026537E-2</v>
      </c>
    </row>
    <row r="23" spans="2:13" x14ac:dyDescent="0.2">
      <c r="B23" s="6">
        <v>54</v>
      </c>
      <c r="C23" s="57">
        <f>'Q3 Profit Test Basis'!C22</f>
        <v>3.9760000000000004E-3</v>
      </c>
      <c r="E23" s="186">
        <f>C23*'Q3 Profit Test Basis'!$F$12</f>
        <v>3.5784000000000002E-3</v>
      </c>
      <c r="F23" s="187">
        <f>'Q3 Profit Test Basis'!F$9</f>
        <v>2.5000000000000001E-2</v>
      </c>
      <c r="G23" s="188">
        <f t="shared" si="0"/>
        <v>3.5848177881296012E-3</v>
      </c>
      <c r="H23" s="189">
        <f t="shared" si="1"/>
        <v>2.5317807984289897E-2</v>
      </c>
      <c r="I23" s="190">
        <f t="shared" si="2"/>
        <v>0.97151105999999998</v>
      </c>
      <c r="J23" s="191">
        <f t="shared" si="3"/>
        <v>3.5335079823236304E-3</v>
      </c>
      <c r="K23" s="191">
        <f t="shared" si="4"/>
        <v>2.4955432017676388E-2</v>
      </c>
      <c r="L23" s="10"/>
      <c r="M23" s="191">
        <f t="shared" si="5"/>
        <v>2.4955432017676388E-2</v>
      </c>
    </row>
    <row r="24" spans="2:13" x14ac:dyDescent="0.2">
      <c r="B24" s="6">
        <v>55</v>
      </c>
      <c r="C24" s="57">
        <f>'Q3 Profit Test Basis'!C23</f>
        <v>4.4689999999999999E-3</v>
      </c>
      <c r="E24" s="186">
        <f>C24*'Q3 Profit Test Basis'!$F$12</f>
        <v>4.0220999999999998E-3</v>
      </c>
      <c r="F24" s="187">
        <f>'Q3 Profit Test Basis'!F$9</f>
        <v>2.5000000000000001E-2</v>
      </c>
      <c r="G24" s="188">
        <f t="shared" si="0"/>
        <v>4.030210398732993E-3</v>
      </c>
      <c r="H24" s="189">
        <f t="shared" si="1"/>
        <v>2.5317807984289897E-2</v>
      </c>
      <c r="I24" s="190">
        <f t="shared" si="2"/>
        <v>0.97107845249999991</v>
      </c>
      <c r="J24" s="191">
        <f t="shared" si="3"/>
        <v>3.9716453751909063E-3</v>
      </c>
      <c r="K24" s="191">
        <f t="shared" si="4"/>
        <v>2.494990212480918E-2</v>
      </c>
      <c r="L24" s="10"/>
      <c r="M24" s="191">
        <f t="shared" si="5"/>
        <v>2.4949902124809183E-2</v>
      </c>
    </row>
    <row r="25" spans="2:13" x14ac:dyDescent="0.2">
      <c r="B25" s="6">
        <v>56</v>
      </c>
      <c r="C25" s="57">
        <f>'Q3 Profit Test Basis'!C24</f>
        <v>5.025E-3</v>
      </c>
      <c r="E25" s="186">
        <f>C25*'Q3 Profit Test Basis'!$F$12</f>
        <v>4.5225000000000005E-3</v>
      </c>
      <c r="F25" s="187">
        <f>'Q3 Profit Test Basis'!F$9</f>
        <v>2.5000000000000001E-2</v>
      </c>
      <c r="G25" s="188">
        <f t="shared" si="0"/>
        <v>4.5327574409930798E-3</v>
      </c>
      <c r="H25" s="189">
        <f t="shared" si="1"/>
        <v>2.5317807984289897E-2</v>
      </c>
      <c r="I25" s="190">
        <f t="shared" si="2"/>
        <v>0.97059056249999998</v>
      </c>
      <c r="J25" s="191">
        <f t="shared" si="3"/>
        <v>4.4657729180110602E-3</v>
      </c>
      <c r="K25" s="191">
        <f t="shared" si="4"/>
        <v>2.4943664581988965E-2</v>
      </c>
      <c r="L25" s="10"/>
      <c r="M25" s="191">
        <f t="shared" si="5"/>
        <v>2.4943664581988965E-2</v>
      </c>
    </row>
    <row r="26" spans="2:13" x14ac:dyDescent="0.2">
      <c r="B26" s="6">
        <v>57</v>
      </c>
      <c r="C26" s="57">
        <f>'Q3 Profit Test Basis'!C25</f>
        <v>5.6499999999999996E-3</v>
      </c>
      <c r="E26" s="186">
        <f>C26*'Q3 Profit Test Basis'!$F$12</f>
        <v>5.0850000000000001E-3</v>
      </c>
      <c r="F26" s="187">
        <f>'Q3 Profit Test Basis'!F$9</f>
        <v>2.5000000000000001E-2</v>
      </c>
      <c r="G26" s="188">
        <f t="shared" si="0"/>
        <v>5.0979726083282585E-3</v>
      </c>
      <c r="H26" s="189">
        <f t="shared" si="1"/>
        <v>2.5317807984289897E-2</v>
      </c>
      <c r="I26" s="190">
        <f t="shared" si="2"/>
        <v>0.97004212499999998</v>
      </c>
      <c r="J26" s="191">
        <f t="shared" si="3"/>
        <v>5.0212232985001196E-3</v>
      </c>
      <c r="K26" s="191">
        <f t="shared" si="4"/>
        <v>2.4936651701499904E-2</v>
      </c>
      <c r="L26" s="10"/>
      <c r="M26" s="191">
        <f t="shared" si="5"/>
        <v>2.4936651701499904E-2</v>
      </c>
    </row>
    <row r="27" spans="2:13" x14ac:dyDescent="0.2">
      <c r="B27" s="6">
        <v>58</v>
      </c>
      <c r="C27" s="57">
        <f>'Q3 Profit Test Basis'!C26</f>
        <v>6.352E-3</v>
      </c>
      <c r="E27" s="186">
        <f>C27*'Q3 Profit Test Basis'!$F$12</f>
        <v>5.7168000000000002E-3</v>
      </c>
      <c r="F27" s="187">
        <f>'Q3 Profit Test Basis'!F$9</f>
        <v>2.5000000000000001E-2</v>
      </c>
      <c r="G27" s="188">
        <f t="shared" si="0"/>
        <v>5.7332034478144341E-3</v>
      </c>
      <c r="H27" s="189">
        <f t="shared" si="1"/>
        <v>2.5317807984289897E-2</v>
      </c>
      <c r="I27" s="190">
        <f t="shared" si="2"/>
        <v>0.96942612000000006</v>
      </c>
      <c r="J27" s="191">
        <f t="shared" si="3"/>
        <v>5.6451067499795528E-3</v>
      </c>
      <c r="K27" s="191">
        <f t="shared" si="4"/>
        <v>2.4928773250020388E-2</v>
      </c>
      <c r="L27" s="10"/>
      <c r="M27" s="191">
        <f t="shared" si="5"/>
        <v>2.4928773250020388E-2</v>
      </c>
    </row>
    <row r="28" spans="2:13" x14ac:dyDescent="0.2">
      <c r="B28" s="6">
        <v>59</v>
      </c>
      <c r="C28" s="57">
        <f>'Q3 Profit Test Basis'!C27</f>
        <v>7.1399999999999996E-3</v>
      </c>
      <c r="E28" s="186">
        <f>C28*'Q3 Profit Test Basis'!$F$12</f>
        <v>6.4259999999999994E-3</v>
      </c>
      <c r="F28" s="187">
        <f>'Q3 Profit Test Basis'!F10</f>
        <v>0</v>
      </c>
      <c r="G28" s="188">
        <f t="shared" si="0"/>
        <v>6.4467356171166853E-3</v>
      </c>
      <c r="H28" s="189">
        <f t="shared" si="1"/>
        <v>0</v>
      </c>
      <c r="I28" s="190">
        <f t="shared" si="2"/>
        <v>0.99357399999999996</v>
      </c>
      <c r="J28" s="191">
        <f t="shared" si="3"/>
        <v>6.4260000000000428E-3</v>
      </c>
      <c r="K28" s="191">
        <f t="shared" si="4"/>
        <v>0</v>
      </c>
      <c r="L28" s="10"/>
      <c r="M28" s="191">
        <f t="shared" si="5"/>
        <v>0</v>
      </c>
    </row>
    <row r="29" spans="2:13" x14ac:dyDescent="0.2">
      <c r="L29" s="10"/>
    </row>
  </sheetData>
  <printOptions gridLines="1"/>
  <pageMargins left="0.7" right="0.7" top="0.75" bottom="0.75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6"/>
  <sheetViews>
    <sheetView tabSelected="1" topLeftCell="R6" workbookViewId="0">
      <selection activeCell="AE32" sqref="AE32"/>
    </sheetView>
  </sheetViews>
  <sheetFormatPr defaultRowHeight="12.75" x14ac:dyDescent="0.2"/>
  <cols>
    <col min="1" max="1" width="4.85546875" style="7" customWidth="1"/>
    <col min="2" max="2" width="5.42578125" style="7" customWidth="1"/>
    <col min="3" max="3" width="9.7109375" style="7" bestFit="1" customWidth="1"/>
    <col min="4" max="4" width="8" style="7" bestFit="1" customWidth="1"/>
    <col min="5" max="5" width="8.85546875" style="7" bestFit="1" customWidth="1"/>
    <col min="6" max="6" width="9.5703125" style="7" bestFit="1" customWidth="1"/>
    <col min="7" max="7" width="8.85546875" style="7" bestFit="1" customWidth="1"/>
    <col min="8" max="8" width="9.42578125" style="7" bestFit="1" customWidth="1"/>
    <col min="9" max="11" width="9.42578125" style="7" customWidth="1"/>
    <col min="12" max="12" width="11.85546875" style="7" bestFit="1" customWidth="1"/>
    <col min="13" max="13" width="10.7109375" style="7" bestFit="1" customWidth="1"/>
    <col min="14" max="14" width="14.28515625" style="7" customWidth="1"/>
    <col min="15" max="20" width="10.7109375" style="7" customWidth="1"/>
    <col min="21" max="21" width="11.85546875" style="7" bestFit="1" customWidth="1"/>
    <col min="22" max="22" width="9.28515625" style="7" bestFit="1" customWidth="1"/>
    <col min="23" max="23" width="9.7109375" style="7" bestFit="1" customWidth="1"/>
    <col min="24" max="24" width="11.140625" style="7" bestFit="1" customWidth="1"/>
    <col min="25" max="26" width="10.7109375" style="7" bestFit="1" customWidth="1"/>
    <col min="27" max="27" width="9.7109375" style="7" bestFit="1" customWidth="1"/>
    <col min="28" max="28" width="10.7109375" style="7" bestFit="1" customWidth="1"/>
    <col min="29" max="29" width="9.28515625" style="7" bestFit="1" customWidth="1"/>
    <col min="30" max="30" width="9.140625" style="7"/>
    <col min="31" max="31" width="4.140625" style="7" customWidth="1"/>
    <col min="32" max="32" width="43.140625" style="7" bestFit="1" customWidth="1"/>
    <col min="33" max="16384" width="9.140625" style="7"/>
  </cols>
  <sheetData>
    <row r="2" spans="1:32" s="2" customFormat="1" ht="25.5" x14ac:dyDescent="0.35">
      <c r="A2" s="52" t="s">
        <v>173</v>
      </c>
    </row>
    <row r="4" spans="1:32" x14ac:dyDescent="0.2">
      <c r="B4" s="105" t="s">
        <v>174</v>
      </c>
      <c r="C4" s="105">
        <v>4000</v>
      </c>
      <c r="D4" s="105">
        <f>'Q3 Profit Test Basis'!F14</f>
        <v>500</v>
      </c>
      <c r="E4" s="105">
        <f>'Q3 Profit Test Basis'!F15</f>
        <v>50</v>
      </c>
      <c r="F4" s="99">
        <f>'Q3 Profit Test Basis'!F17</f>
        <v>0.75</v>
      </c>
      <c r="G4" s="99">
        <f>'Q3 Profit Test Basis'!F18</f>
        <v>0.05</v>
      </c>
      <c r="H4" s="99">
        <f>i</f>
        <v>0.04</v>
      </c>
      <c r="L4" s="97">
        <v>100000</v>
      </c>
      <c r="M4" s="105"/>
      <c r="N4" s="97">
        <f>'Q3 Profit Test Basis'!F22</f>
        <v>25</v>
      </c>
      <c r="O4" s="105"/>
      <c r="P4" s="105"/>
      <c r="Q4" s="106" t="s">
        <v>175</v>
      </c>
      <c r="R4" s="105"/>
      <c r="S4" s="105"/>
      <c r="T4" s="105"/>
      <c r="U4" s="105"/>
      <c r="V4" s="105"/>
      <c r="W4" s="105"/>
      <c r="X4" s="99">
        <f>'Q3 Profit Test Basis'!F24</f>
        <v>0.1</v>
      </c>
    </row>
    <row r="5" spans="1:32" s="10" customFormat="1" x14ac:dyDescent="0.2"/>
    <row r="6" spans="1:32" x14ac:dyDescent="0.2">
      <c r="C6" s="103" t="s">
        <v>10</v>
      </c>
      <c r="D6" s="103" t="s">
        <v>10</v>
      </c>
      <c r="E6" s="103" t="s">
        <v>10</v>
      </c>
      <c r="F6" s="103" t="s">
        <v>10</v>
      </c>
      <c r="G6" s="103" t="s">
        <v>10</v>
      </c>
      <c r="H6" s="103" t="s">
        <v>13</v>
      </c>
      <c r="I6" s="258" t="s">
        <v>176</v>
      </c>
      <c r="J6" s="258"/>
      <c r="K6" s="258"/>
      <c r="L6" s="103" t="s">
        <v>13</v>
      </c>
      <c r="M6" s="103" t="s">
        <v>10</v>
      </c>
      <c r="N6" s="103" t="s">
        <v>13</v>
      </c>
      <c r="O6" s="103" t="s">
        <v>177</v>
      </c>
      <c r="P6" s="103" t="s">
        <v>13</v>
      </c>
      <c r="Q6" s="103" t="s">
        <v>10</v>
      </c>
      <c r="R6" s="103" t="s">
        <v>13</v>
      </c>
      <c r="S6" s="103" t="s">
        <v>13</v>
      </c>
      <c r="T6" s="103" t="s">
        <v>10</v>
      </c>
      <c r="U6" s="103" t="s">
        <v>10</v>
      </c>
      <c r="V6" s="103" t="s">
        <v>13</v>
      </c>
      <c r="W6" s="103" t="s">
        <v>10</v>
      </c>
      <c r="X6" s="103" t="s">
        <v>10</v>
      </c>
      <c r="Y6" s="103" t="s">
        <v>10</v>
      </c>
      <c r="Z6" s="103" t="s">
        <v>13</v>
      </c>
      <c r="AA6" s="103"/>
      <c r="AB6" s="103"/>
      <c r="AC6" s="103" t="s">
        <v>10</v>
      </c>
    </row>
    <row r="8" spans="1:32" ht="23.25" customHeight="1" x14ac:dyDescent="0.2">
      <c r="B8" s="259" t="s">
        <v>133</v>
      </c>
      <c r="C8" s="261" t="s">
        <v>178</v>
      </c>
      <c r="D8" s="264" t="s">
        <v>179</v>
      </c>
      <c r="E8" s="265"/>
      <c r="F8" s="264" t="s">
        <v>180</v>
      </c>
      <c r="G8" s="265"/>
      <c r="H8" s="261" t="s">
        <v>181</v>
      </c>
      <c r="I8" s="259" t="s">
        <v>170</v>
      </c>
      <c r="J8" s="259" t="s">
        <v>171</v>
      </c>
      <c r="K8" s="259" t="s">
        <v>182</v>
      </c>
      <c r="L8" s="259" t="s">
        <v>183</v>
      </c>
      <c r="M8" s="259" t="s">
        <v>184</v>
      </c>
      <c r="N8" s="259" t="s">
        <v>185</v>
      </c>
      <c r="O8" s="259" t="s">
        <v>186</v>
      </c>
      <c r="P8" s="259" t="s">
        <v>187</v>
      </c>
      <c r="Q8" s="259" t="s">
        <v>188</v>
      </c>
      <c r="R8" s="259" t="s">
        <v>189</v>
      </c>
      <c r="S8" s="259" t="s">
        <v>190</v>
      </c>
      <c r="T8" s="259" t="s">
        <v>191</v>
      </c>
      <c r="U8" s="259" t="s">
        <v>192</v>
      </c>
      <c r="V8" s="259" t="s">
        <v>193</v>
      </c>
      <c r="W8" s="259" t="s">
        <v>194</v>
      </c>
      <c r="X8" s="259" t="s">
        <v>195</v>
      </c>
      <c r="Y8" s="259" t="s">
        <v>196</v>
      </c>
      <c r="Z8" s="259" t="s">
        <v>197</v>
      </c>
      <c r="AA8" s="259" t="s">
        <v>198</v>
      </c>
      <c r="AB8" s="259" t="s">
        <v>199</v>
      </c>
      <c r="AC8" s="259" t="s">
        <v>200</v>
      </c>
    </row>
    <row r="9" spans="1:32" ht="22.5" customHeight="1" x14ac:dyDescent="0.2">
      <c r="B9" s="260"/>
      <c r="C9" s="262"/>
      <c r="D9" s="21" t="s">
        <v>201</v>
      </c>
      <c r="E9" s="21" t="s">
        <v>202</v>
      </c>
      <c r="F9" s="21" t="s">
        <v>201</v>
      </c>
      <c r="G9" s="21" t="s">
        <v>202</v>
      </c>
      <c r="H9" s="262"/>
      <c r="I9" s="263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E9" s="9" t="s">
        <v>23</v>
      </c>
      <c r="AF9" s="10"/>
    </row>
    <row r="10" spans="1:32" x14ac:dyDescent="0.2">
      <c r="B10" s="57">
        <v>1</v>
      </c>
      <c r="C10" s="192">
        <f t="shared" ref="C10:C29" si="0">$C$4</f>
        <v>4000</v>
      </c>
      <c r="D10" s="107">
        <f>-D4</f>
        <v>-500</v>
      </c>
      <c r="E10" s="107"/>
      <c r="F10" s="193">
        <f>-$F$4*C10</f>
        <v>-3000</v>
      </c>
      <c r="G10" s="193"/>
      <c r="H10" s="195">
        <f t="shared" ref="H10:H29" si="1">i*SUM(C10:G10)</f>
        <v>20</v>
      </c>
      <c r="I10" s="108">
        <f>'Q3(ii)'!I9</f>
        <v>0.89924103</v>
      </c>
      <c r="J10" s="108">
        <f>'Q3(ii)'!J9</f>
        <v>8.0040064363131138E-4</v>
      </c>
      <c r="K10" s="108">
        <f>'Q3(ii)'!K9</f>
        <v>9.9958569356368696E-2</v>
      </c>
      <c r="L10" s="198">
        <f t="shared" ref="L10:L29" si="2">-J10*L$4</f>
        <v>-80.040064363131137</v>
      </c>
      <c r="M10" s="199"/>
      <c r="N10" s="198">
        <f t="shared" ref="N10:N28" si="3">-$N$4*J10</f>
        <v>-2.0010016090782786E-2</v>
      </c>
      <c r="O10" s="206">
        <f t="shared" ref="O10:O29" si="4">-Q10*K10*(1+$H$4)^0.5</f>
        <v>0</v>
      </c>
      <c r="P10" s="183">
        <f t="shared" ref="P10:P29" si="5">-$N$4*K10*(1+$H$4)^0.5</f>
        <v>-2.548453478494709</v>
      </c>
      <c r="Q10" s="207">
        <f>'Q3(i)'!Q9</f>
        <v>0</v>
      </c>
      <c r="R10" s="208">
        <f t="shared" ref="R10:R29" si="6">Q11*I10</f>
        <v>2734.6261328849114</v>
      </c>
      <c r="S10" s="207">
        <f t="shared" ref="S10:S29" si="7">Q10*i</f>
        <v>0</v>
      </c>
      <c r="T10" s="208">
        <f t="shared" ref="T10:T29" si="8">-(Q10-R10+S10)</f>
        <v>2734.6261328849114</v>
      </c>
      <c r="U10" s="217">
        <f t="shared" ref="U10:U29" si="9">SUM(C10:H10)+SUM(L10:P10)-T10</f>
        <v>-2297.234660742628</v>
      </c>
      <c r="V10" s="218">
        <f>1</f>
        <v>1</v>
      </c>
      <c r="W10" s="217">
        <f t="shared" ref="W10:W29" si="10">U10*V10</f>
        <v>-2297.234660742628</v>
      </c>
      <c r="X10" s="219">
        <f>1/(1+RDR)</f>
        <v>0.90909090909090906</v>
      </c>
      <c r="Y10" s="221">
        <f t="shared" ref="Y10:Y29" si="11">W10*X10</f>
        <v>-2088.3951461296615</v>
      </c>
      <c r="Z10" s="222">
        <f>C10</f>
        <v>4000</v>
      </c>
      <c r="AA10" s="224">
        <f>SUM(Y10:Y29)</f>
        <v>1457.7827532314736</v>
      </c>
      <c r="AB10" s="224">
        <f>SUM(Z10:Z29)</f>
        <v>29069.187299824611</v>
      </c>
      <c r="AC10" s="225">
        <f>AA10/AB10</f>
        <v>5.0148727523602603E-2</v>
      </c>
      <c r="AE10" s="196">
        <v>1</v>
      </c>
      <c r="AF10" s="197" t="s">
        <v>203</v>
      </c>
    </row>
    <row r="11" spans="1:32" x14ac:dyDescent="0.2">
      <c r="B11" s="57">
        <v>2</v>
      </c>
      <c r="C11" s="192">
        <f t="shared" si="0"/>
        <v>4000</v>
      </c>
      <c r="D11" s="194"/>
      <c r="E11" s="194">
        <f t="shared" ref="E11:E29" si="12">-$E$4</f>
        <v>-50</v>
      </c>
      <c r="F11" s="192"/>
      <c r="G11" s="192">
        <f t="shared" ref="G11:G29" si="13">-$G$4*C11</f>
        <v>-200</v>
      </c>
      <c r="H11" s="195">
        <f t="shared" si="1"/>
        <v>150</v>
      </c>
      <c r="I11" s="108">
        <f>'Q3(ii)'!I10</f>
        <v>0.94913302999999993</v>
      </c>
      <c r="J11" s="108">
        <f>'Q3(ii)'!J10</f>
        <v>8.8959343739656031E-4</v>
      </c>
      <c r="K11" s="108">
        <f>'Q3(ii)'!K10</f>
        <v>4.9977376562603502E-2</v>
      </c>
      <c r="L11" s="198">
        <f t="shared" si="2"/>
        <v>-88.959343739656035</v>
      </c>
      <c r="M11" s="199"/>
      <c r="N11" s="198">
        <f t="shared" si="3"/>
        <v>-2.2239835934914007E-2</v>
      </c>
      <c r="O11" s="206">
        <f t="shared" si="4"/>
        <v>-154.99295922418864</v>
      </c>
      <c r="P11" s="183">
        <f t="shared" si="5"/>
        <v>-1.2741780916544498</v>
      </c>
      <c r="Q11" s="207">
        <f>'Q3(i)'!Q10</f>
        <v>3041.0379883187843</v>
      </c>
      <c r="R11" s="208">
        <f t="shared" si="6"/>
        <v>5913.9644642119802</v>
      </c>
      <c r="S11" s="207">
        <f t="shared" si="7"/>
        <v>121.64151953275137</v>
      </c>
      <c r="T11" s="208">
        <f t="shared" si="8"/>
        <v>2751.2849563604445</v>
      </c>
      <c r="U11" s="217">
        <f t="shared" si="9"/>
        <v>903.46632274812146</v>
      </c>
      <c r="V11" s="220">
        <f t="shared" ref="V11:V29" si="14">V10*I10</f>
        <v>0.89924103</v>
      </c>
      <c r="W11" s="217">
        <f t="shared" si="10"/>
        <v>812.43398663833318</v>
      </c>
      <c r="X11" s="219">
        <f t="shared" ref="X11:X29" si="15">X10/(1+RDR)</f>
        <v>0.82644628099173545</v>
      </c>
      <c r="Y11" s="221">
        <f t="shared" si="11"/>
        <v>671.43304680853976</v>
      </c>
      <c r="Z11" s="223">
        <f t="shared" ref="Z11:Z29" si="16">C11*V11*X10</f>
        <v>3269.9673818181818</v>
      </c>
      <c r="AA11" s="57"/>
      <c r="AB11" s="57"/>
      <c r="AC11" s="57"/>
      <c r="AE11" s="178">
        <v>1</v>
      </c>
      <c r="AF11" s="179" t="s">
        <v>204</v>
      </c>
    </row>
    <row r="12" spans="1:32" x14ac:dyDescent="0.2">
      <c r="B12" s="57">
        <v>3</v>
      </c>
      <c r="C12" s="192">
        <f t="shared" si="0"/>
        <v>4000</v>
      </c>
      <c r="D12" s="194"/>
      <c r="E12" s="194">
        <f t="shared" si="12"/>
        <v>-50</v>
      </c>
      <c r="F12" s="192"/>
      <c r="G12" s="192">
        <f t="shared" si="13"/>
        <v>-200</v>
      </c>
      <c r="H12" s="195">
        <f t="shared" si="1"/>
        <v>150</v>
      </c>
      <c r="I12" s="108">
        <f>'Q3(ii)'!I11</f>
        <v>0.97403123999999996</v>
      </c>
      <c r="J12" s="108">
        <f>'Q3(ii)'!J11</f>
        <v>9.8112965045070227E-4</v>
      </c>
      <c r="K12" s="108">
        <f>'Q3(ii)'!K11</f>
        <v>2.4987630349549334E-2</v>
      </c>
      <c r="L12" s="198">
        <f t="shared" si="2"/>
        <v>-98.112965045070226</v>
      </c>
      <c r="M12" s="199"/>
      <c r="N12" s="198">
        <f t="shared" si="3"/>
        <v>-2.4528241261267555E-2</v>
      </c>
      <c r="O12" s="206">
        <f t="shared" si="4"/>
        <v>-158.77911089779315</v>
      </c>
      <c r="P12" s="183">
        <f t="shared" si="5"/>
        <v>-0.63706207375397683</v>
      </c>
      <c r="Q12" s="207">
        <f>'Q3(i)'!Q11</f>
        <v>6230.9120821682718</v>
      </c>
      <c r="R12" s="208">
        <f t="shared" si="6"/>
        <v>9327.9789719976379</v>
      </c>
      <c r="S12" s="207">
        <f t="shared" si="7"/>
        <v>249.23648328673087</v>
      </c>
      <c r="T12" s="208">
        <f t="shared" si="8"/>
        <v>2847.830406542635</v>
      </c>
      <c r="U12" s="217">
        <f t="shared" si="9"/>
        <v>794.61592719948612</v>
      </c>
      <c r="V12" s="220">
        <f t="shared" si="14"/>
        <v>0.85349936350422084</v>
      </c>
      <c r="W12" s="217">
        <f t="shared" si="10"/>
        <v>678.20418809507771</v>
      </c>
      <c r="X12" s="219">
        <f t="shared" si="15"/>
        <v>0.75131480090157765</v>
      </c>
      <c r="Y12" s="221">
        <f t="shared" si="11"/>
        <v>509.54484454926944</v>
      </c>
      <c r="Z12" s="223">
        <f t="shared" si="16"/>
        <v>2821.4854991875063</v>
      </c>
      <c r="AA12" s="57"/>
      <c r="AB12" s="57"/>
      <c r="AC12" s="57"/>
      <c r="AE12" s="178">
        <v>1</v>
      </c>
      <c r="AF12" s="179" t="s">
        <v>205</v>
      </c>
    </row>
    <row r="13" spans="1:32" x14ac:dyDescent="0.2">
      <c r="B13" s="57">
        <v>4</v>
      </c>
      <c r="C13" s="192">
        <f t="shared" si="0"/>
        <v>4000</v>
      </c>
      <c r="D13" s="194"/>
      <c r="E13" s="194">
        <f t="shared" si="12"/>
        <v>-50</v>
      </c>
      <c r="F13" s="192"/>
      <c r="G13" s="192">
        <f t="shared" si="13"/>
        <v>-200</v>
      </c>
      <c r="H13" s="195">
        <f t="shared" si="1"/>
        <v>150</v>
      </c>
      <c r="I13" s="108">
        <f>'Q3(ii)'!I12</f>
        <v>0.97393998000000004</v>
      </c>
      <c r="J13" s="108">
        <f>'Q3(ii)'!J12</f>
        <v>1.0735551195998382E-3</v>
      </c>
      <c r="K13" s="108">
        <f>'Q3(ii)'!K12</f>
        <v>2.4986464880400124E-2</v>
      </c>
      <c r="L13" s="198">
        <f t="shared" si="2"/>
        <v>-107.35551195998382</v>
      </c>
      <c r="M13" s="199"/>
      <c r="N13" s="198">
        <f t="shared" si="3"/>
        <v>-2.6838877989995954E-2</v>
      </c>
      <c r="O13" s="206">
        <f t="shared" si="4"/>
        <v>-244.0260317975916</v>
      </c>
      <c r="P13" s="183">
        <f t="shared" si="5"/>
        <v>-0.63703236000430519</v>
      </c>
      <c r="Q13" s="207">
        <f>'Q3(i)'!Q12</f>
        <v>9576.6733025910326</v>
      </c>
      <c r="R13" s="208">
        <f t="shared" si="6"/>
        <v>12744.781044496709</v>
      </c>
      <c r="S13" s="207">
        <f t="shared" si="7"/>
        <v>383.06693210364131</v>
      </c>
      <c r="T13" s="208">
        <f t="shared" si="8"/>
        <v>2785.0408098020353</v>
      </c>
      <c r="U13" s="217">
        <f t="shared" si="9"/>
        <v>762.91377520239485</v>
      </c>
      <c r="V13" s="220">
        <f t="shared" si="14"/>
        <v>0.83133504337322695</v>
      </c>
      <c r="W13" s="217">
        <f t="shared" si="10"/>
        <v>634.23695639791526</v>
      </c>
      <c r="X13" s="219">
        <f t="shared" si="15"/>
        <v>0.68301345536507052</v>
      </c>
      <c r="Y13" s="221">
        <f t="shared" si="11"/>
        <v>433.19237510956566</v>
      </c>
      <c r="Z13" s="223">
        <f t="shared" si="16"/>
        <v>2498.3772903778417</v>
      </c>
      <c r="AA13" s="57"/>
      <c r="AB13" s="57"/>
      <c r="AC13" s="57"/>
      <c r="AE13" s="196">
        <v>1</v>
      </c>
      <c r="AF13" s="197" t="s">
        <v>206</v>
      </c>
    </row>
    <row r="14" spans="1:32" x14ac:dyDescent="0.2">
      <c r="B14" s="57">
        <v>5</v>
      </c>
      <c r="C14" s="192">
        <f t="shared" si="0"/>
        <v>4000</v>
      </c>
      <c r="D14" s="194"/>
      <c r="E14" s="194">
        <f t="shared" si="12"/>
        <v>-50</v>
      </c>
      <c r="F14" s="192"/>
      <c r="G14" s="192">
        <f t="shared" si="13"/>
        <v>-200</v>
      </c>
      <c r="H14" s="195">
        <f t="shared" si="1"/>
        <v>150</v>
      </c>
      <c r="I14" s="108">
        <f>'Q3(ii)'!I13</f>
        <v>0.97383555749999995</v>
      </c>
      <c r="J14" s="108">
        <f>'Q3(ii)'!J13</f>
        <v>1.1793112301151957E-3</v>
      </c>
      <c r="K14" s="108">
        <f>'Q3(ii)'!K13</f>
        <v>2.4985131269884855E-2</v>
      </c>
      <c r="L14" s="198">
        <f t="shared" si="2"/>
        <v>-117.93112301151957</v>
      </c>
      <c r="M14" s="199"/>
      <c r="N14" s="198">
        <f t="shared" si="3"/>
        <v>-2.9482780752879894E-2</v>
      </c>
      <c r="O14" s="206">
        <f t="shared" si="4"/>
        <v>-333.42525346175927</v>
      </c>
      <c r="P14" s="183">
        <f t="shared" si="5"/>
        <v>-0.63699835947410077</v>
      </c>
      <c r="Q14" s="207">
        <f>'Q3(i)'!Q13</f>
        <v>13085.797180742809</v>
      </c>
      <c r="R14" s="208">
        <f t="shared" si="6"/>
        <v>16327.549498837081</v>
      </c>
      <c r="S14" s="207">
        <f t="shared" si="7"/>
        <v>523.4318872297124</v>
      </c>
      <c r="T14" s="208">
        <f t="shared" si="8"/>
        <v>2718.3204308645591</v>
      </c>
      <c r="U14" s="217">
        <f t="shared" si="9"/>
        <v>729.65671152193499</v>
      </c>
      <c r="V14" s="220">
        <f t="shared" si="14"/>
        <v>0.80967043551621987</v>
      </c>
      <c r="W14" s="217">
        <f t="shared" si="10"/>
        <v>590.78146739529791</v>
      </c>
      <c r="X14" s="219">
        <f t="shared" si="15"/>
        <v>0.62092132305915493</v>
      </c>
      <c r="Y14" s="221">
        <f t="shared" si="11"/>
        <v>366.82881037391735</v>
      </c>
      <c r="Z14" s="223">
        <f t="shared" si="16"/>
        <v>2212.0632074754994</v>
      </c>
      <c r="AA14" s="57"/>
      <c r="AB14" s="57"/>
      <c r="AC14" s="57"/>
      <c r="AE14" s="196">
        <v>1</v>
      </c>
      <c r="AF14" s="197" t="s">
        <v>207</v>
      </c>
    </row>
    <row r="15" spans="1:32" x14ac:dyDescent="0.2">
      <c r="B15" s="57">
        <v>6</v>
      </c>
      <c r="C15" s="192">
        <f t="shared" si="0"/>
        <v>4000</v>
      </c>
      <c r="D15" s="194"/>
      <c r="E15" s="194">
        <f t="shared" si="12"/>
        <v>-50</v>
      </c>
      <c r="F15" s="192"/>
      <c r="G15" s="192">
        <f t="shared" si="13"/>
        <v>-200</v>
      </c>
      <c r="H15" s="195">
        <f t="shared" si="1"/>
        <v>150</v>
      </c>
      <c r="I15" s="108">
        <f>'Q3(ii)'!I14</f>
        <v>0.97371446249999993</v>
      </c>
      <c r="J15" s="108">
        <f>'Q3(ii)'!J14</f>
        <v>1.3019528299967708E-3</v>
      </c>
      <c r="K15" s="108">
        <f>'Q3(ii)'!K14</f>
        <v>2.4983584670003296E-2</v>
      </c>
      <c r="L15" s="198">
        <f t="shared" si="2"/>
        <v>-130.19528299967709</v>
      </c>
      <c r="M15" s="199"/>
      <c r="N15" s="198">
        <f t="shared" si="3"/>
        <v>-3.2548820749919272E-2</v>
      </c>
      <c r="O15" s="206">
        <f t="shared" si="4"/>
        <v>-427.1759583205581</v>
      </c>
      <c r="P15" s="183">
        <f t="shared" si="5"/>
        <v>-0.63695892875922189</v>
      </c>
      <c r="Q15" s="207">
        <f>'Q3(i)'!Q14</f>
        <v>16766.228520914407</v>
      </c>
      <c r="R15" s="208">
        <f t="shared" si="6"/>
        <v>20084.077559822334</v>
      </c>
      <c r="S15" s="207">
        <f t="shared" si="7"/>
        <v>670.64914083657629</v>
      </c>
      <c r="T15" s="208">
        <f t="shared" si="8"/>
        <v>2647.1998980713506</v>
      </c>
      <c r="U15" s="217">
        <f t="shared" si="9"/>
        <v>694.759352858905</v>
      </c>
      <c r="V15" s="220">
        <f t="shared" si="14"/>
        <v>0.78848585996220577</v>
      </c>
      <c r="W15" s="217">
        <f t="shared" si="10"/>
        <v>547.80792580573927</v>
      </c>
      <c r="X15" s="219">
        <f t="shared" si="15"/>
        <v>0.56447393005377711</v>
      </c>
      <c r="Y15" s="221">
        <f t="shared" si="11"/>
        <v>309.22329279417357</v>
      </c>
      <c r="Z15" s="223">
        <f t="shared" si="16"/>
        <v>1958.3507335246734</v>
      </c>
      <c r="AA15" s="57"/>
      <c r="AB15" s="57"/>
      <c r="AC15" s="57"/>
      <c r="AE15" s="178">
        <v>2</v>
      </c>
      <c r="AF15" s="179" t="s">
        <v>208</v>
      </c>
    </row>
    <row r="16" spans="1:32" x14ac:dyDescent="0.2">
      <c r="B16" s="57">
        <v>7</v>
      </c>
      <c r="C16" s="192">
        <f t="shared" si="0"/>
        <v>4000</v>
      </c>
      <c r="D16" s="194"/>
      <c r="E16" s="194">
        <f t="shared" si="12"/>
        <v>-50</v>
      </c>
      <c r="F16" s="192"/>
      <c r="G16" s="192">
        <f t="shared" si="13"/>
        <v>-200</v>
      </c>
      <c r="H16" s="195">
        <f t="shared" si="1"/>
        <v>150</v>
      </c>
      <c r="I16" s="108">
        <f>'Q3(ii)'!I15</f>
        <v>0.97357669499999999</v>
      </c>
      <c r="J16" s="108">
        <f>'Q3(ii)'!J15</f>
        <v>1.4414799458545475E-3</v>
      </c>
      <c r="K16" s="108">
        <f>'Q3(ii)'!K15</f>
        <v>2.4981825054145458E-2</v>
      </c>
      <c r="L16" s="198">
        <f t="shared" si="2"/>
        <v>-144.14799458545474</v>
      </c>
      <c r="M16" s="199"/>
      <c r="N16" s="198">
        <f t="shared" si="3"/>
        <v>-3.6036998646363685E-2</v>
      </c>
      <c r="O16" s="206">
        <f t="shared" si="4"/>
        <v>-525.48594138643591</v>
      </c>
      <c r="P16" s="183">
        <f t="shared" si="5"/>
        <v>-0.6369140671812441</v>
      </c>
      <c r="Q16" s="207">
        <f>'Q3(i)'!Q15</f>
        <v>20626.249617630932</v>
      </c>
      <c r="R16" s="208">
        <f t="shared" si="6"/>
        <v>24022.802067400276</v>
      </c>
      <c r="S16" s="207">
        <f t="shared" si="7"/>
        <v>825.04998470523731</v>
      </c>
      <c r="T16" s="208">
        <f t="shared" si="8"/>
        <v>2571.5024650641067</v>
      </c>
      <c r="U16" s="217">
        <f t="shared" si="9"/>
        <v>658.19064789817503</v>
      </c>
      <c r="V16" s="220">
        <f t="shared" si="14"/>
        <v>0.76776008532194939</v>
      </c>
      <c r="W16" s="217">
        <f t="shared" si="10"/>
        <v>505.33250798841203</v>
      </c>
      <c r="X16" s="219">
        <f t="shared" si="15"/>
        <v>0.51315811823070645</v>
      </c>
      <c r="Y16" s="221">
        <f t="shared" si="11"/>
        <v>259.31547888013694</v>
      </c>
      <c r="Z16" s="223">
        <f t="shared" si="16"/>
        <v>1733.5222108004161</v>
      </c>
      <c r="AA16" s="57"/>
      <c r="AB16" s="57"/>
      <c r="AC16" s="57"/>
      <c r="AE16" s="174">
        <v>2</v>
      </c>
      <c r="AF16" s="175" t="s">
        <v>209</v>
      </c>
    </row>
    <row r="17" spans="2:32" x14ac:dyDescent="0.2">
      <c r="B17" s="57">
        <v>8</v>
      </c>
      <c r="C17" s="192">
        <f t="shared" si="0"/>
        <v>4000</v>
      </c>
      <c r="D17" s="194"/>
      <c r="E17" s="194">
        <f t="shared" si="12"/>
        <v>-50</v>
      </c>
      <c r="F17" s="192"/>
      <c r="G17" s="192">
        <f t="shared" si="13"/>
        <v>-200</v>
      </c>
      <c r="H17" s="195">
        <f t="shared" si="1"/>
        <v>150</v>
      </c>
      <c r="I17" s="108">
        <f>'Q3(ii)'!I16</f>
        <v>0.97341874499999992</v>
      </c>
      <c r="J17" s="108">
        <f>'Q3(ii)'!J16</f>
        <v>1.601447442420078E-3</v>
      </c>
      <c r="K17" s="108">
        <f>'Q3(ii)'!K16</f>
        <v>2.4979807557579999E-2</v>
      </c>
      <c r="L17" s="198">
        <f t="shared" si="2"/>
        <v>-160.14474424200779</v>
      </c>
      <c r="M17" s="199"/>
      <c r="N17" s="198">
        <f t="shared" si="3"/>
        <v>-4.0036186060501952E-2</v>
      </c>
      <c r="O17" s="206">
        <f t="shared" si="4"/>
        <v>-628.57810812580578</v>
      </c>
      <c r="P17" s="183">
        <f t="shared" si="5"/>
        <v>-0.63686263090946471</v>
      </c>
      <c r="Q17" s="207">
        <f>'Q3(i)'!Q16</f>
        <v>24674.791611974932</v>
      </c>
      <c r="R17" s="208">
        <f t="shared" si="6"/>
        <v>28152.508154994703</v>
      </c>
      <c r="S17" s="207">
        <f t="shared" si="7"/>
        <v>986.99166447899734</v>
      </c>
      <c r="T17" s="208">
        <f t="shared" si="8"/>
        <v>2490.7248785407737</v>
      </c>
      <c r="U17" s="217">
        <f t="shared" si="9"/>
        <v>619.8753702744425</v>
      </c>
      <c r="V17" s="220">
        <f t="shared" si="14"/>
        <v>0.74747332642066144</v>
      </c>
      <c r="W17" s="217">
        <f t="shared" si="10"/>
        <v>463.34030498527676</v>
      </c>
      <c r="X17" s="219">
        <f t="shared" si="15"/>
        <v>0.46650738020973309</v>
      </c>
      <c r="Y17" s="221">
        <f t="shared" si="11"/>
        <v>216.15167182426021</v>
      </c>
      <c r="Z17" s="223">
        <f t="shared" si="16"/>
        <v>1534.288022454693</v>
      </c>
      <c r="AA17" s="57"/>
      <c r="AB17" s="57"/>
      <c r="AC17" s="57"/>
      <c r="AE17" s="176">
        <v>1</v>
      </c>
      <c r="AF17" s="177" t="s">
        <v>210</v>
      </c>
    </row>
    <row r="18" spans="2:32" x14ac:dyDescent="0.2">
      <c r="B18" s="57">
        <v>9</v>
      </c>
      <c r="C18" s="192">
        <f t="shared" si="0"/>
        <v>4000</v>
      </c>
      <c r="D18" s="194"/>
      <c r="E18" s="194">
        <f t="shared" si="12"/>
        <v>-50</v>
      </c>
      <c r="F18" s="192"/>
      <c r="G18" s="192">
        <f t="shared" si="13"/>
        <v>-200</v>
      </c>
      <c r="H18" s="195">
        <f t="shared" si="1"/>
        <v>150</v>
      </c>
      <c r="I18" s="108">
        <f>'Q3(ii)'!I17</f>
        <v>0.97323797999999995</v>
      </c>
      <c r="J18" s="108">
        <f>'Q3(ii)'!J17</f>
        <v>1.7845214896669538E-3</v>
      </c>
      <c r="K18" s="108">
        <f>'Q3(ii)'!K17</f>
        <v>2.4977498510333099E-2</v>
      </c>
      <c r="L18" s="198">
        <f t="shared" si="2"/>
        <v>-178.45214896669538</v>
      </c>
      <c r="M18" s="199"/>
      <c r="N18" s="198">
        <f t="shared" si="3"/>
        <v>-4.4613037241673842E-2</v>
      </c>
      <c r="O18" s="206">
        <f t="shared" si="4"/>
        <v>-736.68698826846833</v>
      </c>
      <c r="P18" s="183">
        <f t="shared" si="5"/>
        <v>-0.63680376152461593</v>
      </c>
      <c r="Q18" s="207">
        <f>'Q3(i)'!Q17</f>
        <v>28921.271857154039</v>
      </c>
      <c r="R18" s="208">
        <f t="shared" si="6"/>
        <v>32482.543533050619</v>
      </c>
      <c r="S18" s="207">
        <f t="shared" si="7"/>
        <v>1156.8508742861616</v>
      </c>
      <c r="T18" s="208">
        <f t="shared" si="8"/>
        <v>2404.4208016104185</v>
      </c>
      <c r="U18" s="217">
        <f t="shared" si="9"/>
        <v>579.75864435565154</v>
      </c>
      <c r="V18" s="220">
        <f t="shared" si="14"/>
        <v>0.72760454732537549</v>
      </c>
      <c r="W18" s="217">
        <f t="shared" si="10"/>
        <v>421.83502598436718</v>
      </c>
      <c r="X18" s="219">
        <f t="shared" si="15"/>
        <v>0.42409761837248461</v>
      </c>
      <c r="Y18" s="221">
        <f t="shared" si="11"/>
        <v>178.89922986606527</v>
      </c>
      <c r="Z18" s="223">
        <f t="shared" si="16"/>
        <v>1357.7315648057988</v>
      </c>
      <c r="AA18" s="57"/>
      <c r="AB18" s="57"/>
      <c r="AC18" s="57"/>
      <c r="AE18" s="174">
        <v>2</v>
      </c>
      <c r="AF18" s="175" t="s">
        <v>211</v>
      </c>
    </row>
    <row r="19" spans="2:32" x14ac:dyDescent="0.2">
      <c r="B19" s="57">
        <v>10</v>
      </c>
      <c r="C19" s="192">
        <f t="shared" si="0"/>
        <v>4000</v>
      </c>
      <c r="D19" s="194"/>
      <c r="E19" s="194">
        <f t="shared" si="12"/>
        <v>-50</v>
      </c>
      <c r="F19" s="192"/>
      <c r="G19" s="192">
        <f t="shared" si="13"/>
        <v>-200</v>
      </c>
      <c r="H19" s="195">
        <f t="shared" si="1"/>
        <v>150</v>
      </c>
      <c r="I19" s="108">
        <f>'Q3(ii)'!I18</f>
        <v>0.97303352249999997</v>
      </c>
      <c r="J19" s="108">
        <f>'Q3(ii)'!J18</f>
        <v>1.9915908521076432E-3</v>
      </c>
      <c r="K19" s="108">
        <f>'Q3(ii)'!K18</f>
        <v>2.4974886647892387E-2</v>
      </c>
      <c r="L19" s="198">
        <f t="shared" si="2"/>
        <v>-199.15908521076432</v>
      </c>
      <c r="M19" s="199"/>
      <c r="N19" s="198">
        <f t="shared" si="3"/>
        <v>-4.9789771302691084E-2</v>
      </c>
      <c r="O19" s="206">
        <f t="shared" si="4"/>
        <v>-850.06312241543242</v>
      </c>
      <c r="P19" s="183">
        <f t="shared" si="5"/>
        <v>-0.63673717183685596</v>
      </c>
      <c r="Q19" s="207">
        <f>'Q3(i)'!Q18</f>
        <v>33375.745912680701</v>
      </c>
      <c r="R19" s="208">
        <f t="shared" si="6"/>
        <v>37023.054984197108</v>
      </c>
      <c r="S19" s="207">
        <f t="shared" si="7"/>
        <v>1335.0298365072281</v>
      </c>
      <c r="T19" s="208">
        <f t="shared" si="8"/>
        <v>2312.279235009179</v>
      </c>
      <c r="U19" s="217">
        <f t="shared" si="9"/>
        <v>537.81203042148491</v>
      </c>
      <c r="V19" s="220">
        <f t="shared" si="14"/>
        <v>0.70813237987776279</v>
      </c>
      <c r="W19" s="217">
        <f t="shared" si="10"/>
        <v>380.84211302925786</v>
      </c>
      <c r="X19" s="219">
        <f t="shared" si="15"/>
        <v>0.38554328942953142</v>
      </c>
      <c r="Y19" s="221">
        <f t="shared" si="11"/>
        <v>146.83112101059348</v>
      </c>
      <c r="Z19" s="223">
        <f t="shared" si="16"/>
        <v>1201.269023194395</v>
      </c>
      <c r="AA19" s="57"/>
      <c r="AB19" s="57"/>
      <c r="AC19" s="57"/>
      <c r="AE19" s="202">
        <v>2</v>
      </c>
      <c r="AF19" s="203" t="s">
        <v>212</v>
      </c>
    </row>
    <row r="20" spans="2:32" x14ac:dyDescent="0.2">
      <c r="B20" s="57">
        <v>11</v>
      </c>
      <c r="C20" s="192">
        <f t="shared" si="0"/>
        <v>4000</v>
      </c>
      <c r="D20" s="194"/>
      <c r="E20" s="194">
        <f t="shared" si="12"/>
        <v>-50</v>
      </c>
      <c r="F20" s="192"/>
      <c r="G20" s="192">
        <f t="shared" si="13"/>
        <v>-200</v>
      </c>
      <c r="H20" s="195">
        <f t="shared" si="1"/>
        <v>150</v>
      </c>
      <c r="I20" s="108">
        <f>'Q3(ii)'!I19</f>
        <v>0.97279923000000001</v>
      </c>
      <c r="J20" s="108">
        <f>'Q3(ii)'!J19</f>
        <v>2.2288765706560709E-3</v>
      </c>
      <c r="K20" s="108">
        <f>'Q3(ii)'!K19</f>
        <v>2.4971893429343917E-2</v>
      </c>
      <c r="L20" s="198">
        <f t="shared" si="2"/>
        <v>-222.8876570656071</v>
      </c>
      <c r="M20" s="199"/>
      <c r="N20" s="198">
        <f t="shared" si="3"/>
        <v>-5.5721914266401773E-2</v>
      </c>
      <c r="O20" s="206">
        <f t="shared" si="4"/>
        <v>-968.97504393046484</v>
      </c>
      <c r="P20" s="183">
        <f t="shared" si="5"/>
        <v>-0.63666085943792039</v>
      </c>
      <c r="Q20" s="207">
        <f>'Q3(i)'!Q19</f>
        <v>38049.10532688981</v>
      </c>
      <c r="R20" s="208">
        <f t="shared" si="6"/>
        <v>41784.556487978756</v>
      </c>
      <c r="S20" s="207">
        <f t="shared" si="7"/>
        <v>1521.9642130755924</v>
      </c>
      <c r="T20" s="208">
        <f t="shared" si="8"/>
        <v>2213.4869480133534</v>
      </c>
      <c r="U20" s="217">
        <f t="shared" si="9"/>
        <v>493.95796821687009</v>
      </c>
      <c r="V20" s="220">
        <f t="shared" si="14"/>
        <v>0.68903654398876757</v>
      </c>
      <c r="W20" s="217">
        <f t="shared" si="10"/>
        <v>340.35509129586563</v>
      </c>
      <c r="X20" s="219">
        <f t="shared" si="15"/>
        <v>0.35049389948139215</v>
      </c>
      <c r="Y20" s="221">
        <f t="shared" si="11"/>
        <v>119.29238315663318</v>
      </c>
      <c r="Z20" s="223">
        <f t="shared" si="16"/>
        <v>1062.6136628263419</v>
      </c>
      <c r="AA20" s="57"/>
      <c r="AB20" s="57"/>
      <c r="AC20" s="57"/>
      <c r="AE20" s="202">
        <v>1</v>
      </c>
      <c r="AF20" s="203" t="s">
        <v>213</v>
      </c>
    </row>
    <row r="21" spans="2:32" x14ac:dyDescent="0.2">
      <c r="B21" s="57">
        <v>12</v>
      </c>
      <c r="C21" s="192">
        <f t="shared" si="0"/>
        <v>4000</v>
      </c>
      <c r="D21" s="194"/>
      <c r="E21" s="194">
        <f t="shared" si="12"/>
        <v>-50</v>
      </c>
      <c r="F21" s="192"/>
      <c r="G21" s="192">
        <f t="shared" si="13"/>
        <v>-200</v>
      </c>
      <c r="H21" s="195">
        <f t="shared" si="1"/>
        <v>150</v>
      </c>
      <c r="I21" s="108">
        <f>'Q3(ii)'!I20</f>
        <v>0.97253510249999997</v>
      </c>
      <c r="J21" s="108">
        <f>'Q3(ii)'!J20</f>
        <v>2.4963787376111992E-3</v>
      </c>
      <c r="K21" s="108">
        <f>'Q3(ii)'!K20</f>
        <v>2.4968518762388831E-2</v>
      </c>
      <c r="L21" s="198">
        <f t="shared" si="2"/>
        <v>-249.63787376111992</v>
      </c>
      <c r="M21" s="199"/>
      <c r="N21" s="198">
        <f t="shared" si="3"/>
        <v>-6.2409468440279982E-2</v>
      </c>
      <c r="O21" s="206">
        <f t="shared" si="4"/>
        <v>-1093.7096077933538</v>
      </c>
      <c r="P21" s="183">
        <f t="shared" si="5"/>
        <v>-0.6365748219746411</v>
      </c>
      <c r="Q21" s="207">
        <f>'Q3(i)'!Q20</f>
        <v>42952.90867775333</v>
      </c>
      <c r="R21" s="208">
        <f t="shared" si="6"/>
        <v>46778.782803594717</v>
      </c>
      <c r="S21" s="207">
        <f t="shared" si="7"/>
        <v>1718.1163471101333</v>
      </c>
      <c r="T21" s="208">
        <f t="shared" si="8"/>
        <v>2107.757778731253</v>
      </c>
      <c r="U21" s="217">
        <f t="shared" si="9"/>
        <v>448.19575542385837</v>
      </c>
      <c r="V21" s="220">
        <f t="shared" si="14"/>
        <v>0.67029421943413425</v>
      </c>
      <c r="W21" s="217">
        <f t="shared" si="10"/>
        <v>300.42302403552731</v>
      </c>
      <c r="X21" s="219">
        <f t="shared" si="15"/>
        <v>0.31863081771035645</v>
      </c>
      <c r="Y21" s="221">
        <f t="shared" si="11"/>
        <v>95.724033807458142</v>
      </c>
      <c r="Z21" s="223">
        <f t="shared" si="16"/>
        <v>939.73613907722256</v>
      </c>
      <c r="AA21" s="57"/>
      <c r="AB21" s="57"/>
      <c r="AC21" s="57"/>
      <c r="AE21" s="202">
        <v>1</v>
      </c>
      <c r="AF21" s="203" t="s">
        <v>214</v>
      </c>
    </row>
    <row r="22" spans="2:32" x14ac:dyDescent="0.2">
      <c r="B22" s="57">
        <v>13</v>
      </c>
      <c r="C22" s="192">
        <f t="shared" si="0"/>
        <v>4000</v>
      </c>
      <c r="D22" s="194"/>
      <c r="E22" s="194">
        <f t="shared" si="12"/>
        <v>-50</v>
      </c>
      <c r="F22" s="192"/>
      <c r="G22" s="192">
        <f t="shared" si="13"/>
        <v>-200</v>
      </c>
      <c r="H22" s="195">
        <f t="shared" si="1"/>
        <v>150</v>
      </c>
      <c r="I22" s="108">
        <f>'Q3(ii)'!I21</f>
        <v>0.97223411999999998</v>
      </c>
      <c r="J22" s="108">
        <f>'Q3(ii)'!J21</f>
        <v>2.8012071625050147E-3</v>
      </c>
      <c r="K22" s="108">
        <f>'Q3(ii)'!K21</f>
        <v>2.4964672837495004E-2</v>
      </c>
      <c r="L22" s="198">
        <f t="shared" si="2"/>
        <v>-280.12071625050146</v>
      </c>
      <c r="M22" s="199"/>
      <c r="N22" s="198">
        <f t="shared" si="3"/>
        <v>-7.0030179062625361E-2</v>
      </c>
      <c r="O22" s="206">
        <f t="shared" si="4"/>
        <v>-1224.5772309858228</v>
      </c>
      <c r="P22" s="183">
        <f t="shared" si="5"/>
        <v>-0.63647676974423395</v>
      </c>
      <c r="Q22" s="207">
        <f>'Q3(i)'!Q21</f>
        <v>48099.839978366967</v>
      </c>
      <c r="R22" s="208">
        <f t="shared" si="6"/>
        <v>52017.960483953721</v>
      </c>
      <c r="S22" s="207">
        <f t="shared" si="7"/>
        <v>1923.9935991346788</v>
      </c>
      <c r="T22" s="208">
        <f t="shared" si="8"/>
        <v>1994.1269064520752</v>
      </c>
      <c r="U22" s="217">
        <f t="shared" si="9"/>
        <v>400.46863936279397</v>
      </c>
      <c r="V22" s="220">
        <f t="shared" si="14"/>
        <v>0.65188465740253321</v>
      </c>
      <c r="W22" s="217">
        <f t="shared" si="10"/>
        <v>261.05936177147356</v>
      </c>
      <c r="X22" s="219">
        <f t="shared" si="15"/>
        <v>0.28966437973668768</v>
      </c>
      <c r="Y22" s="221">
        <f t="shared" si="11"/>
        <v>75.619598101989439</v>
      </c>
      <c r="Z22" s="223">
        <f t="shared" si="16"/>
        <v>830.84216576401889</v>
      </c>
      <c r="AA22" s="57"/>
      <c r="AB22" s="57"/>
      <c r="AC22" s="57"/>
      <c r="AE22" s="204">
        <v>1</v>
      </c>
      <c r="AF22" s="205" t="s">
        <v>215</v>
      </c>
    </row>
    <row r="23" spans="2:32" x14ac:dyDescent="0.2">
      <c r="B23" s="57">
        <v>14</v>
      </c>
      <c r="C23" s="192">
        <f t="shared" si="0"/>
        <v>4000</v>
      </c>
      <c r="D23" s="194"/>
      <c r="E23" s="194">
        <f t="shared" si="12"/>
        <v>-50</v>
      </c>
      <c r="F23" s="192"/>
      <c r="G23" s="192">
        <f t="shared" si="13"/>
        <v>-200</v>
      </c>
      <c r="H23" s="195">
        <f t="shared" si="1"/>
        <v>150</v>
      </c>
      <c r="I23" s="108">
        <f>'Q3(ii)'!I22</f>
        <v>0.97189452749999994</v>
      </c>
      <c r="J23" s="108">
        <f>'Q3(ii)'!J22</f>
        <v>3.1451394209735242E-3</v>
      </c>
      <c r="K23" s="108">
        <f>'Q3(ii)'!K22</f>
        <v>2.4960333079026537E-2</v>
      </c>
      <c r="L23" s="198">
        <f t="shared" si="2"/>
        <v>-314.51394209735241</v>
      </c>
      <c r="M23" s="199"/>
      <c r="N23" s="198">
        <f t="shared" si="3"/>
        <v>-7.8628485524338099E-2</v>
      </c>
      <c r="O23" s="206">
        <f t="shared" si="4"/>
        <v>-1361.9134476336276</v>
      </c>
      <c r="P23" s="183">
        <f t="shared" si="5"/>
        <v>-0.63636612717865904</v>
      </c>
      <c r="Q23" s="207">
        <f>'Q3(i)'!Q22</f>
        <v>53503.533165400244</v>
      </c>
      <c r="R23" s="208">
        <f t="shared" si="6"/>
        <v>57515.746665449849</v>
      </c>
      <c r="S23" s="207">
        <f t="shared" si="7"/>
        <v>2140.1413266160098</v>
      </c>
      <c r="T23" s="208">
        <f t="shared" si="8"/>
        <v>1872.0721734335957</v>
      </c>
      <c r="U23" s="217">
        <f t="shared" si="9"/>
        <v>350.78544222272103</v>
      </c>
      <c r="V23" s="220">
        <f t="shared" si="14"/>
        <v>0.63378450623125338</v>
      </c>
      <c r="W23" s="217">
        <f t="shared" si="10"/>
        <v>222.32237829223911</v>
      </c>
      <c r="X23" s="219">
        <f t="shared" si="15"/>
        <v>0.26333125430607968</v>
      </c>
      <c r="Y23" s="221">
        <f t="shared" si="11"/>
        <v>58.544430736006063</v>
      </c>
      <c r="Z23" s="223">
        <f t="shared" si="16"/>
        <v>734.33918353679553</v>
      </c>
      <c r="AA23" s="57"/>
      <c r="AB23" s="57"/>
      <c r="AC23" s="57"/>
      <c r="AE23" s="204">
        <v>1</v>
      </c>
      <c r="AF23" s="205" t="s">
        <v>216</v>
      </c>
    </row>
    <row r="24" spans="2:32" x14ac:dyDescent="0.2">
      <c r="B24" s="57">
        <v>15</v>
      </c>
      <c r="C24" s="192">
        <f t="shared" si="0"/>
        <v>4000</v>
      </c>
      <c r="D24" s="194"/>
      <c r="E24" s="194">
        <f t="shared" si="12"/>
        <v>-50</v>
      </c>
      <c r="F24" s="192"/>
      <c r="G24" s="192">
        <f t="shared" si="13"/>
        <v>-200</v>
      </c>
      <c r="H24" s="195">
        <f t="shared" si="1"/>
        <v>150</v>
      </c>
      <c r="I24" s="108">
        <f>'Q3(ii)'!I23</f>
        <v>0.97151105999999998</v>
      </c>
      <c r="J24" s="108">
        <f>'Q3(ii)'!J23</f>
        <v>3.5335079823236304E-3</v>
      </c>
      <c r="K24" s="108">
        <f>'Q3(ii)'!K23</f>
        <v>2.4955432017676388E-2</v>
      </c>
      <c r="L24" s="198">
        <f t="shared" si="2"/>
        <v>-353.35079823236305</v>
      </c>
      <c r="M24" s="199"/>
      <c r="N24" s="198">
        <f t="shared" si="3"/>
        <v>-8.833769955809076E-2</v>
      </c>
      <c r="O24" s="206">
        <f t="shared" si="4"/>
        <v>-1506.0846688445736</v>
      </c>
      <c r="P24" s="183">
        <f t="shared" si="5"/>
        <v>-0.63624117414135029</v>
      </c>
      <c r="Q24" s="207">
        <f>'Q3(i)'!Q23</f>
        <v>59179.0004347461</v>
      </c>
      <c r="R24" s="208">
        <f t="shared" si="6"/>
        <v>63286.857880163254</v>
      </c>
      <c r="S24" s="207">
        <f t="shared" si="7"/>
        <v>2367.1600173898441</v>
      </c>
      <c r="T24" s="208">
        <f t="shared" si="8"/>
        <v>1740.6974280273098</v>
      </c>
      <c r="U24" s="217">
        <f t="shared" si="9"/>
        <v>299.1425260220542</v>
      </c>
      <c r="V24" s="220">
        <f t="shared" si="14"/>
        <v>0.61597169322044476</v>
      </c>
      <c r="W24" s="217">
        <f t="shared" si="10"/>
        <v>184.26332826804568</v>
      </c>
      <c r="X24" s="219">
        <f t="shared" si="15"/>
        <v>0.23939204936916333</v>
      </c>
      <c r="Y24" s="221">
        <f t="shared" si="11"/>
        <v>44.11117577767034</v>
      </c>
      <c r="Z24" s="223">
        <f t="shared" si="16"/>
        <v>648.81839437111773</v>
      </c>
      <c r="AA24" s="57"/>
      <c r="AB24" s="57"/>
      <c r="AC24" s="57"/>
      <c r="AE24" s="209">
        <v>1</v>
      </c>
      <c r="AF24" s="210" t="s">
        <v>217</v>
      </c>
    </row>
    <row r="25" spans="2:32" x14ac:dyDescent="0.2">
      <c r="B25" s="57">
        <v>16</v>
      </c>
      <c r="C25" s="192">
        <f t="shared" si="0"/>
        <v>4000</v>
      </c>
      <c r="D25" s="194"/>
      <c r="E25" s="194">
        <f t="shared" si="12"/>
        <v>-50</v>
      </c>
      <c r="F25" s="192"/>
      <c r="G25" s="192">
        <f t="shared" si="13"/>
        <v>-200</v>
      </c>
      <c r="H25" s="195">
        <f t="shared" si="1"/>
        <v>150</v>
      </c>
      <c r="I25" s="108">
        <f>'Q3(ii)'!I24</f>
        <v>0.97107845249999991</v>
      </c>
      <c r="J25" s="108">
        <f>'Q3(ii)'!J24</f>
        <v>3.9716453751909063E-3</v>
      </c>
      <c r="K25" s="108">
        <f>'Q3(ii)'!K24</f>
        <v>2.494990212480918E-2</v>
      </c>
      <c r="L25" s="198">
        <f t="shared" si="2"/>
        <v>-397.16453751909063</v>
      </c>
      <c r="M25" s="199"/>
      <c r="N25" s="198">
        <f t="shared" si="3"/>
        <v>-9.9291134379772661E-2</v>
      </c>
      <c r="O25" s="206">
        <f t="shared" si="4"/>
        <v>-1657.4914652118223</v>
      </c>
      <c r="P25" s="183">
        <f t="shared" si="5"/>
        <v>-0.63610018898316045</v>
      </c>
      <c r="Q25" s="207">
        <f>'Q3(i)'!Q24</f>
        <v>65142.704479517975</v>
      </c>
      <c r="R25" s="208">
        <f t="shared" si="6"/>
        <v>69347.459958012987</v>
      </c>
      <c r="S25" s="207">
        <f t="shared" si="7"/>
        <v>2605.7081791807191</v>
      </c>
      <c r="T25" s="208">
        <f t="shared" si="8"/>
        <v>1599.0472993142926</v>
      </c>
      <c r="U25" s="217">
        <f t="shared" si="9"/>
        <v>245.56130663143176</v>
      </c>
      <c r="V25" s="220">
        <f t="shared" si="14"/>
        <v>0.59842331261058912</v>
      </c>
      <c r="W25" s="217">
        <f t="shared" si="10"/>
        <v>146.94961056336601</v>
      </c>
      <c r="X25" s="219">
        <f t="shared" si="15"/>
        <v>0.21762913579014848</v>
      </c>
      <c r="Y25" s="221">
        <f t="shared" si="11"/>
        <v>31.980516751604217</v>
      </c>
      <c r="Z25" s="223">
        <f t="shared" si="16"/>
        <v>573.03113278452975</v>
      </c>
      <c r="AA25" s="57"/>
      <c r="AB25" s="57"/>
      <c r="AC25" s="57"/>
      <c r="AE25" s="211">
        <v>2</v>
      </c>
      <c r="AF25" s="212" t="s">
        <v>218</v>
      </c>
    </row>
    <row r="26" spans="2:32" x14ac:dyDescent="0.2">
      <c r="B26" s="57">
        <v>17</v>
      </c>
      <c r="C26" s="192">
        <f t="shared" si="0"/>
        <v>4000</v>
      </c>
      <c r="D26" s="194"/>
      <c r="E26" s="194">
        <f t="shared" si="12"/>
        <v>-50</v>
      </c>
      <c r="F26" s="192"/>
      <c r="G26" s="192">
        <f t="shared" si="13"/>
        <v>-200</v>
      </c>
      <c r="H26" s="195">
        <f t="shared" si="1"/>
        <v>150</v>
      </c>
      <c r="I26" s="108">
        <f>'Q3(ii)'!I25</f>
        <v>0.97059056249999998</v>
      </c>
      <c r="J26" s="108">
        <f>'Q3(ii)'!J25</f>
        <v>4.4657729180110602E-3</v>
      </c>
      <c r="K26" s="108">
        <f>'Q3(ii)'!K25</f>
        <v>2.4943664581988965E-2</v>
      </c>
      <c r="L26" s="198">
        <f t="shared" si="2"/>
        <v>-446.57729180110601</v>
      </c>
      <c r="M26" s="199"/>
      <c r="N26" s="198">
        <f t="shared" si="3"/>
        <v>-0.1116443229502765</v>
      </c>
      <c r="O26" s="206">
        <f t="shared" si="4"/>
        <v>-1816.5743115478999</v>
      </c>
      <c r="P26" s="183">
        <f t="shared" si="5"/>
        <v>-0.63594116222037478</v>
      </c>
      <c r="Q26" s="207">
        <f>'Q3(i)'!Q25</f>
        <v>71412.829498462175</v>
      </c>
      <c r="R26" s="208">
        <f t="shared" si="6"/>
        <v>75715.356251403005</v>
      </c>
      <c r="S26" s="207">
        <f t="shared" si="7"/>
        <v>2856.5131799384872</v>
      </c>
      <c r="T26" s="208">
        <f t="shared" si="8"/>
        <v>1446.013573002343</v>
      </c>
      <c r="U26" s="217">
        <f t="shared" si="9"/>
        <v>190.08723816348038</v>
      </c>
      <c r="V26" s="220">
        <f t="shared" si="14"/>
        <v>0.5811159843498146</v>
      </c>
      <c r="W26" s="217">
        <f t="shared" si="10"/>
        <v>110.46273251770855</v>
      </c>
      <c r="X26" s="219">
        <f t="shared" si="15"/>
        <v>0.19784466890013497</v>
      </c>
      <c r="Y26" s="221">
        <f t="shared" si="11"/>
        <v>21.85446274077022</v>
      </c>
      <c r="Z26" s="223">
        <f t="shared" si="16"/>
        <v>505.87107787156646</v>
      </c>
      <c r="AA26" s="57"/>
      <c r="AB26" s="57"/>
      <c r="AC26" s="57"/>
      <c r="AE26" s="209">
        <v>2</v>
      </c>
      <c r="AF26" s="210" t="s">
        <v>219</v>
      </c>
    </row>
    <row r="27" spans="2:32" x14ac:dyDescent="0.2">
      <c r="B27" s="57">
        <v>18</v>
      </c>
      <c r="C27" s="192">
        <f t="shared" si="0"/>
        <v>4000</v>
      </c>
      <c r="D27" s="194"/>
      <c r="E27" s="194">
        <f t="shared" si="12"/>
        <v>-50</v>
      </c>
      <c r="F27" s="192"/>
      <c r="G27" s="192">
        <f t="shared" si="13"/>
        <v>-200</v>
      </c>
      <c r="H27" s="195">
        <f t="shared" si="1"/>
        <v>150</v>
      </c>
      <c r="I27" s="108">
        <f>'Q3(ii)'!I26</f>
        <v>0.97004212499999998</v>
      </c>
      <c r="J27" s="108">
        <f>'Q3(ii)'!J26</f>
        <v>5.0212232985001196E-3</v>
      </c>
      <c r="K27" s="108">
        <f>'Q3(ii)'!K26</f>
        <v>2.4936651701499904E-2</v>
      </c>
      <c r="L27" s="198">
        <f t="shared" si="2"/>
        <v>-502.12232985001197</v>
      </c>
      <c r="M27" s="199"/>
      <c r="N27" s="198">
        <f t="shared" si="3"/>
        <v>-0.12553058246250298</v>
      </c>
      <c r="O27" s="206">
        <f t="shared" si="4"/>
        <v>-1983.822058668205</v>
      </c>
      <c r="P27" s="183">
        <f t="shared" si="5"/>
        <v>-0.63576236814807374</v>
      </c>
      <c r="Q27" s="207">
        <f>'Q3(i)'!Q26</f>
        <v>78009.573940611037</v>
      </c>
      <c r="R27" s="208">
        <f t="shared" si="6"/>
        <v>82410.448782598847</v>
      </c>
      <c r="S27" s="207">
        <f t="shared" si="7"/>
        <v>3120.3829576244416</v>
      </c>
      <c r="T27" s="208">
        <f t="shared" si="8"/>
        <v>1280.4918843633686</v>
      </c>
      <c r="U27" s="217">
        <f t="shared" si="9"/>
        <v>132.80243416780377</v>
      </c>
      <c r="V27" s="220">
        <f t="shared" si="14"/>
        <v>0.56402569012782777</v>
      </c>
      <c r="W27" s="217">
        <f t="shared" si="10"/>
        <v>74.90398458215094</v>
      </c>
      <c r="X27" s="219">
        <f t="shared" si="15"/>
        <v>0.17985878990921358</v>
      </c>
      <c r="Y27" s="221">
        <f t="shared" si="11"/>
        <v>13.472140026324059</v>
      </c>
      <c r="Z27" s="223">
        <f t="shared" si="16"/>
        <v>446.35790365804087</v>
      </c>
      <c r="AA27" s="57"/>
      <c r="AB27" s="57"/>
      <c r="AC27" s="57"/>
      <c r="AE27" s="211">
        <v>1</v>
      </c>
      <c r="AF27" s="212" t="s">
        <v>220</v>
      </c>
    </row>
    <row r="28" spans="2:32" x14ac:dyDescent="0.2">
      <c r="B28" s="57">
        <v>19</v>
      </c>
      <c r="C28" s="192">
        <f t="shared" si="0"/>
        <v>4000</v>
      </c>
      <c r="D28" s="194"/>
      <c r="E28" s="194">
        <f t="shared" si="12"/>
        <v>-50</v>
      </c>
      <c r="F28" s="192"/>
      <c r="G28" s="192">
        <f t="shared" si="13"/>
        <v>-200</v>
      </c>
      <c r="H28" s="195">
        <f t="shared" si="1"/>
        <v>150</v>
      </c>
      <c r="I28" s="108">
        <f>'Q3(ii)'!I27</f>
        <v>0.96942612000000006</v>
      </c>
      <c r="J28" s="108">
        <f>'Q3(ii)'!J27</f>
        <v>5.6451067499795528E-3</v>
      </c>
      <c r="K28" s="108">
        <f>'Q3(ii)'!K27</f>
        <v>2.4928773250020388E-2</v>
      </c>
      <c r="L28" s="198">
        <f t="shared" si="2"/>
        <v>-564.51067499795533</v>
      </c>
      <c r="M28" s="199"/>
      <c r="N28" s="198">
        <f t="shared" si="3"/>
        <v>-0.14112766874948882</v>
      </c>
      <c r="O28" s="206">
        <f t="shared" si="4"/>
        <v>-2159.7787399074869</v>
      </c>
      <c r="P28" s="183">
        <f t="shared" si="5"/>
        <v>-0.63556150625891894</v>
      </c>
      <c r="Q28" s="207">
        <f>'Q3(i)'!Q27</f>
        <v>84955.536114061906</v>
      </c>
      <c r="R28" s="208">
        <f t="shared" si="6"/>
        <v>89454.871374306502</v>
      </c>
      <c r="S28" s="207">
        <f t="shared" si="7"/>
        <v>3398.2214445624763</v>
      </c>
      <c r="T28" s="208">
        <f t="shared" si="8"/>
        <v>1101.1138156821194</v>
      </c>
      <c r="U28" s="217">
        <f t="shared" si="9"/>
        <v>73.82008023742992</v>
      </c>
      <c r="V28" s="220">
        <f t="shared" si="14"/>
        <v>0.54712867900618956</v>
      </c>
      <c r="W28" s="217">
        <f t="shared" si="10"/>
        <v>40.389082984435952</v>
      </c>
      <c r="X28" s="219">
        <f t="shared" si="15"/>
        <v>0.16350799082655779</v>
      </c>
      <c r="Y28" s="221">
        <f t="shared" si="11"/>
        <v>6.6039378101122344</v>
      </c>
      <c r="Z28" s="223">
        <f t="shared" si="16"/>
        <v>393.62360852271922</v>
      </c>
      <c r="AA28" s="57"/>
      <c r="AB28" s="57"/>
      <c r="AC28" s="57"/>
      <c r="AE28" s="213">
        <v>1</v>
      </c>
      <c r="AF28" s="214" t="s">
        <v>221</v>
      </c>
    </row>
    <row r="29" spans="2:32" x14ac:dyDescent="0.2">
      <c r="B29" s="57">
        <v>20</v>
      </c>
      <c r="C29" s="192">
        <f t="shared" si="0"/>
        <v>4000</v>
      </c>
      <c r="D29" s="194"/>
      <c r="E29" s="194">
        <f t="shared" si="12"/>
        <v>-50</v>
      </c>
      <c r="F29" s="192"/>
      <c r="G29" s="192">
        <f t="shared" si="13"/>
        <v>-200</v>
      </c>
      <c r="H29" s="195">
        <f t="shared" si="1"/>
        <v>150</v>
      </c>
      <c r="I29" s="108">
        <f>'Q3(ii)'!I28</f>
        <v>0.99357399999999996</v>
      </c>
      <c r="J29" s="108">
        <f>'Q3(ii)'!J28</f>
        <v>6.4260000000000428E-3</v>
      </c>
      <c r="K29" s="108">
        <f>'Q3(ii)'!K28</f>
        <v>0</v>
      </c>
      <c r="L29" s="198">
        <f t="shared" si="2"/>
        <v>-642.60000000000423</v>
      </c>
      <c r="M29" s="200">
        <f>-$L$4*I29</f>
        <v>-99357.4</v>
      </c>
      <c r="N29" s="201">
        <f>-N4</f>
        <v>-25</v>
      </c>
      <c r="O29" s="206">
        <f t="shared" si="4"/>
        <v>0</v>
      </c>
      <c r="P29" s="183">
        <f t="shared" si="5"/>
        <v>0</v>
      </c>
      <c r="Q29" s="207">
        <f>'Q3(i)'!Q28</f>
        <v>92276.110091098526</v>
      </c>
      <c r="R29" s="208">
        <f t="shared" si="6"/>
        <v>0</v>
      </c>
      <c r="S29" s="207">
        <f t="shared" si="7"/>
        <v>3691.0444036439412</v>
      </c>
      <c r="T29" s="208">
        <f t="shared" si="8"/>
        <v>-95967.15449474247</v>
      </c>
      <c r="U29" s="217">
        <f t="shared" si="9"/>
        <v>-157.84550525753002</v>
      </c>
      <c r="V29" s="220">
        <f t="shared" si="14"/>
        <v>0.53040083242969582</v>
      </c>
      <c r="W29" s="217">
        <f t="shared" si="10"/>
        <v>-83.721387383879858</v>
      </c>
      <c r="X29" s="219">
        <f t="shared" si="15"/>
        <v>0.14864362802414344</v>
      </c>
      <c r="Y29" s="221">
        <f t="shared" si="11"/>
        <v>-12.444650763954654</v>
      </c>
      <c r="Z29" s="223">
        <f t="shared" si="16"/>
        <v>346.89909777325329</v>
      </c>
      <c r="AA29" s="57"/>
      <c r="AB29" s="57"/>
      <c r="AC29" s="57"/>
      <c r="AE29" s="215">
        <v>1</v>
      </c>
      <c r="AF29" s="216" t="s">
        <v>222</v>
      </c>
    </row>
    <row r="30" spans="2:32" x14ac:dyDescent="0.2">
      <c r="AE30" s="215">
        <v>1</v>
      </c>
      <c r="AF30" s="216" t="s">
        <v>223</v>
      </c>
    </row>
    <row r="31" spans="2:32" x14ac:dyDescent="0.2">
      <c r="AE31" s="213">
        <v>1</v>
      </c>
      <c r="AF31" s="214" t="s">
        <v>224</v>
      </c>
    </row>
    <row r="32" spans="2:32" x14ac:dyDescent="0.2">
      <c r="AE32" s="215">
        <v>1</v>
      </c>
      <c r="AF32" s="216" t="s">
        <v>225</v>
      </c>
    </row>
    <row r="33" spans="31:32" x14ac:dyDescent="0.2">
      <c r="AE33" s="226">
        <v>1</v>
      </c>
      <c r="AF33" s="227" t="s">
        <v>226</v>
      </c>
    </row>
    <row r="34" spans="31:32" x14ac:dyDescent="0.2">
      <c r="AE34" s="228">
        <v>2</v>
      </c>
      <c r="AF34" s="229" t="s">
        <v>227</v>
      </c>
    </row>
    <row r="35" spans="31:32" x14ac:dyDescent="0.2">
      <c r="AE35" s="230">
        <v>1</v>
      </c>
      <c r="AF35" s="231" t="s">
        <v>228</v>
      </c>
    </row>
    <row r="36" spans="31:32" x14ac:dyDescent="0.2">
      <c r="AE36" s="9">
        <f>SUM(AE9:AE35)</f>
        <v>33</v>
      </c>
      <c r="AF36" s="9" t="s">
        <v>36</v>
      </c>
    </row>
  </sheetData>
  <mergeCells count="27">
    <mergeCell ref="B8:B9"/>
    <mergeCell ref="C8:C9"/>
    <mergeCell ref="H8:H9"/>
    <mergeCell ref="I8:I9"/>
    <mergeCell ref="D8:E8"/>
    <mergeCell ref="F8:G8"/>
    <mergeCell ref="L8:L9"/>
    <mergeCell ref="M8:M9"/>
    <mergeCell ref="N8:N9"/>
    <mergeCell ref="O8:O9"/>
    <mergeCell ref="P8:P9"/>
    <mergeCell ref="I6:K6"/>
    <mergeCell ref="AA8:AA9"/>
    <mergeCell ref="AB8:AB9"/>
    <mergeCell ref="AC8:AC9"/>
    <mergeCell ref="K8:K9"/>
    <mergeCell ref="J8:J9"/>
    <mergeCell ref="V8:V9"/>
    <mergeCell ref="W8:W9"/>
    <mergeCell ref="X8:X9"/>
    <mergeCell ref="Y8:Y9"/>
    <mergeCell ref="Z8:Z9"/>
    <mergeCell ref="Q8:Q9"/>
    <mergeCell ref="R8:R9"/>
    <mergeCell ref="S8:S9"/>
    <mergeCell ref="T8:T9"/>
    <mergeCell ref="U8:U9"/>
  </mergeCells>
  <printOptions gridLines="1"/>
  <pageMargins left="0.7" right="0.7" top="0.75" bottom="0.75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/>
  </sheetViews>
  <sheetFormatPr defaultRowHeight="12.75" x14ac:dyDescent="0.2"/>
  <cols>
    <col min="1" max="1" width="3.7109375" style="7" customWidth="1"/>
    <col min="2" max="2" width="8" style="7" customWidth="1"/>
    <col min="3" max="3" width="4.85546875" style="7" customWidth="1"/>
    <col min="4" max="5" width="12.7109375" style="7" customWidth="1"/>
    <col min="6" max="6" width="9.140625" style="7"/>
    <col min="7" max="7" width="11.140625" style="7" customWidth="1"/>
    <col min="8" max="16384" width="9.140625" style="7"/>
  </cols>
  <sheetData>
    <row r="2" spans="1:19" s="32" customFormat="1" ht="25.5" x14ac:dyDescent="0.35">
      <c r="A2" s="33" t="s">
        <v>229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4" spans="1:19" x14ac:dyDescent="0.2">
      <c r="D4" s="4" t="s">
        <v>118</v>
      </c>
      <c r="F4" s="4" t="s">
        <v>119</v>
      </c>
      <c r="I4" s="4" t="s">
        <v>120</v>
      </c>
    </row>
    <row r="6" spans="1:19" ht="38.25" x14ac:dyDescent="0.2">
      <c r="B6" s="20" t="s">
        <v>133</v>
      </c>
      <c r="C6" s="20" t="s">
        <v>125</v>
      </c>
      <c r="D6" s="20" t="s">
        <v>163</v>
      </c>
      <c r="F6" s="20" t="s">
        <v>230</v>
      </c>
      <c r="G6" s="20" t="s">
        <v>231</v>
      </c>
      <c r="I6" s="109">
        <f>'Q3(iii)'!AC10</f>
        <v>5.0148727523602603E-2</v>
      </c>
    </row>
    <row r="7" spans="1:19" x14ac:dyDescent="0.2">
      <c r="B7" s="57">
        <v>1</v>
      </c>
      <c r="C7" s="57">
        <v>40</v>
      </c>
      <c r="D7" s="110">
        <f>'Q3(i)'!K9</f>
        <v>0</v>
      </c>
      <c r="F7" s="104">
        <f>'Q3(ii)'!J9</f>
        <v>8.0040064363131138E-4</v>
      </c>
      <c r="G7" s="104">
        <f>'Q3(ii)'!K9</f>
        <v>9.9958569356368696E-2</v>
      </c>
    </row>
    <row r="8" spans="1:19" x14ac:dyDescent="0.2">
      <c r="B8" s="57">
        <v>2</v>
      </c>
      <c r="C8" s="57">
        <v>41</v>
      </c>
      <c r="D8" s="110">
        <f>'Q3(i)'!K10</f>
        <v>3041.0379883187852</v>
      </c>
      <c r="F8" s="104">
        <f>'Q3(ii)'!J10</f>
        <v>8.8959343739656031E-4</v>
      </c>
      <c r="G8" s="104">
        <f>'Q3(ii)'!K10</f>
        <v>4.9977376562603502E-2</v>
      </c>
    </row>
    <row r="9" spans="1:19" x14ac:dyDescent="0.2">
      <c r="B9" s="57">
        <v>3</v>
      </c>
      <c r="C9" s="57">
        <v>42</v>
      </c>
      <c r="D9" s="110">
        <f>'Q3(i)'!K11</f>
        <v>6230.9120821682664</v>
      </c>
      <c r="F9" s="104">
        <f>'Q3(ii)'!J11</f>
        <v>9.8112965045070227E-4</v>
      </c>
      <c r="G9" s="104">
        <f>'Q3(ii)'!K11</f>
        <v>2.4987630349549334E-2</v>
      </c>
    </row>
    <row r="10" spans="1:19" x14ac:dyDescent="0.2">
      <c r="B10" s="57">
        <v>4</v>
      </c>
      <c r="C10" s="57">
        <v>43</v>
      </c>
      <c r="D10" s="110">
        <f>'Q3(i)'!K12</f>
        <v>9576.6733025910289</v>
      </c>
      <c r="F10" s="104">
        <f>'Q3(ii)'!J12</f>
        <v>1.0735551195998382E-3</v>
      </c>
      <c r="G10" s="104">
        <f>'Q3(ii)'!K12</f>
        <v>2.4986464880400124E-2</v>
      </c>
    </row>
    <row r="11" spans="1:19" x14ac:dyDescent="0.2">
      <c r="B11" s="57">
        <v>5</v>
      </c>
      <c r="C11" s="57">
        <v>44</v>
      </c>
      <c r="D11" s="110">
        <f>'Q3(i)'!K13</f>
        <v>13085.797180742811</v>
      </c>
      <c r="F11" s="104">
        <f>'Q3(ii)'!J13</f>
        <v>1.1793112301151957E-3</v>
      </c>
      <c r="G11" s="104">
        <f>'Q3(ii)'!K13</f>
        <v>2.4985131269884855E-2</v>
      </c>
    </row>
    <row r="12" spans="1:19" x14ac:dyDescent="0.2">
      <c r="B12" s="57">
        <v>6</v>
      </c>
      <c r="C12" s="57">
        <v>45</v>
      </c>
      <c r="D12" s="110">
        <f>'Q3(i)'!K14</f>
        <v>16766.22852091441</v>
      </c>
      <c r="F12" s="104">
        <f>'Q3(ii)'!J14</f>
        <v>1.3019528299967708E-3</v>
      </c>
      <c r="G12" s="104">
        <f>'Q3(ii)'!K14</f>
        <v>2.4983584670003296E-2</v>
      </c>
    </row>
    <row r="13" spans="1:19" x14ac:dyDescent="0.2">
      <c r="B13" s="57">
        <v>7</v>
      </c>
      <c r="C13" s="57">
        <v>46</v>
      </c>
      <c r="D13" s="110">
        <f>'Q3(i)'!K15</f>
        <v>20626.249617630943</v>
      </c>
      <c r="F13" s="104">
        <f>'Q3(ii)'!J15</f>
        <v>1.4414799458545475E-3</v>
      </c>
      <c r="G13" s="104">
        <f>'Q3(ii)'!K15</f>
        <v>2.4981825054145458E-2</v>
      </c>
    </row>
    <row r="14" spans="1:19" x14ac:dyDescent="0.2">
      <c r="B14" s="57">
        <v>8</v>
      </c>
      <c r="C14" s="57">
        <v>47</v>
      </c>
      <c r="D14" s="110">
        <f>'Q3(i)'!K16</f>
        <v>24674.791611974942</v>
      </c>
      <c r="F14" s="104">
        <f>'Q3(ii)'!J16</f>
        <v>1.601447442420078E-3</v>
      </c>
      <c r="G14" s="104">
        <f>'Q3(ii)'!K16</f>
        <v>2.4979807557579999E-2</v>
      </c>
    </row>
    <row r="15" spans="1:19" x14ac:dyDescent="0.2">
      <c r="B15" s="57">
        <v>9</v>
      </c>
      <c r="C15" s="57">
        <v>48</v>
      </c>
      <c r="D15" s="110">
        <f>'Q3(i)'!K17</f>
        <v>28921.271857154035</v>
      </c>
      <c r="F15" s="104">
        <f>'Q3(ii)'!J17</f>
        <v>1.7845214896669538E-3</v>
      </c>
      <c r="G15" s="104">
        <f>'Q3(ii)'!K17</f>
        <v>2.4977498510333099E-2</v>
      </c>
    </row>
    <row r="16" spans="1:19" x14ac:dyDescent="0.2">
      <c r="B16" s="57">
        <v>10</v>
      </c>
      <c r="C16" s="57">
        <v>49</v>
      </c>
      <c r="D16" s="110">
        <f>'Q3(i)'!K18</f>
        <v>33375.745912680693</v>
      </c>
      <c r="F16" s="104">
        <f>'Q3(ii)'!J18</f>
        <v>1.9915908521076432E-3</v>
      </c>
      <c r="G16" s="104">
        <f>'Q3(ii)'!K18</f>
        <v>2.4974886647892387E-2</v>
      </c>
    </row>
    <row r="17" spans="2:7" x14ac:dyDescent="0.2">
      <c r="B17" s="57">
        <v>11</v>
      </c>
      <c r="C17" s="57">
        <v>50</v>
      </c>
      <c r="D17" s="110">
        <f>'Q3(i)'!K19</f>
        <v>38049.105326889825</v>
      </c>
      <c r="F17" s="104">
        <f>'Q3(ii)'!J19</f>
        <v>2.2288765706560709E-3</v>
      </c>
      <c r="G17" s="104">
        <f>'Q3(ii)'!K19</f>
        <v>2.4971893429343917E-2</v>
      </c>
    </row>
    <row r="18" spans="2:7" x14ac:dyDescent="0.2">
      <c r="B18" s="57">
        <v>12</v>
      </c>
      <c r="C18" s="57">
        <v>51</v>
      </c>
      <c r="D18" s="110">
        <f>'Q3(i)'!K20</f>
        <v>42952.908677753345</v>
      </c>
      <c r="F18" s="104">
        <f>'Q3(ii)'!J20</f>
        <v>2.4963787376111992E-3</v>
      </c>
      <c r="G18" s="104">
        <f>'Q3(ii)'!K20</f>
        <v>2.4968518762388831E-2</v>
      </c>
    </row>
    <row r="19" spans="2:7" x14ac:dyDescent="0.2">
      <c r="B19" s="57">
        <v>13</v>
      </c>
      <c r="C19" s="57">
        <v>52</v>
      </c>
      <c r="D19" s="110">
        <f>'Q3(i)'!K21</f>
        <v>48099.839978366959</v>
      </c>
      <c r="F19" s="104">
        <f>'Q3(ii)'!J21</f>
        <v>2.8012071625050147E-3</v>
      </c>
      <c r="G19" s="104">
        <f>'Q3(ii)'!K21</f>
        <v>2.4964672837495004E-2</v>
      </c>
    </row>
    <row r="20" spans="2:7" x14ac:dyDescent="0.2">
      <c r="B20" s="57">
        <v>14</v>
      </c>
      <c r="C20" s="57">
        <v>53</v>
      </c>
      <c r="D20" s="110">
        <f>'Q3(i)'!K22</f>
        <v>53503.533165400222</v>
      </c>
      <c r="F20" s="104">
        <f>'Q3(ii)'!J22</f>
        <v>3.1451394209735242E-3</v>
      </c>
      <c r="G20" s="104">
        <f>'Q3(ii)'!K22</f>
        <v>2.4960333079026537E-2</v>
      </c>
    </row>
    <row r="21" spans="2:7" x14ac:dyDescent="0.2">
      <c r="B21" s="57">
        <v>15</v>
      </c>
      <c r="C21" s="57">
        <v>54</v>
      </c>
      <c r="D21" s="110">
        <f>'Q3(i)'!K23</f>
        <v>59179.000434746093</v>
      </c>
      <c r="F21" s="104">
        <f>'Q3(ii)'!J23</f>
        <v>3.5335079823236304E-3</v>
      </c>
      <c r="G21" s="104">
        <f>'Q3(ii)'!K23</f>
        <v>2.4955432017676388E-2</v>
      </c>
    </row>
    <row r="22" spans="2:7" x14ac:dyDescent="0.2">
      <c r="B22" s="57">
        <v>16</v>
      </c>
      <c r="C22" s="57">
        <v>55</v>
      </c>
      <c r="D22" s="110">
        <f>'Q3(i)'!K24</f>
        <v>65142.704479517983</v>
      </c>
      <c r="F22" s="104">
        <f>'Q3(ii)'!J24</f>
        <v>3.9716453751909063E-3</v>
      </c>
      <c r="G22" s="104">
        <f>'Q3(ii)'!K24</f>
        <v>2.494990212480918E-2</v>
      </c>
    </row>
    <row r="23" spans="2:7" x14ac:dyDescent="0.2">
      <c r="B23" s="57">
        <v>17</v>
      </c>
      <c r="C23" s="57">
        <v>56</v>
      </c>
      <c r="D23" s="110">
        <f>'Q3(i)'!K25</f>
        <v>71412.829498462175</v>
      </c>
      <c r="F23" s="104">
        <f>'Q3(ii)'!J25</f>
        <v>4.4657729180110602E-3</v>
      </c>
      <c r="G23" s="104">
        <f>'Q3(ii)'!K25</f>
        <v>2.4943664581988965E-2</v>
      </c>
    </row>
    <row r="24" spans="2:7" x14ac:dyDescent="0.2">
      <c r="B24" s="57">
        <v>18</v>
      </c>
      <c r="C24" s="57">
        <v>57</v>
      </c>
      <c r="D24" s="110">
        <f>'Q3(i)'!K26</f>
        <v>78009.573940611008</v>
      </c>
      <c r="F24" s="104">
        <f>'Q3(ii)'!J26</f>
        <v>5.0212232985001196E-3</v>
      </c>
      <c r="G24" s="104">
        <f>'Q3(ii)'!K26</f>
        <v>2.4936651701499904E-2</v>
      </c>
    </row>
    <row r="25" spans="2:7" x14ac:dyDescent="0.2">
      <c r="B25" s="57">
        <v>19</v>
      </c>
      <c r="C25" s="57">
        <v>58</v>
      </c>
      <c r="D25" s="110">
        <f>'Q3(i)'!K27</f>
        <v>84955.536114061906</v>
      </c>
      <c r="F25" s="104">
        <f>'Q3(ii)'!J27</f>
        <v>5.6451067499795528E-3</v>
      </c>
      <c r="G25" s="104">
        <f>'Q3(ii)'!K27</f>
        <v>2.4928773250020388E-2</v>
      </c>
    </row>
    <row r="26" spans="2:7" x14ac:dyDescent="0.2">
      <c r="B26" s="57">
        <v>20</v>
      </c>
      <c r="C26" s="57">
        <v>59</v>
      </c>
      <c r="D26" s="110">
        <f>'Q3(i)'!K28</f>
        <v>92276.110091098511</v>
      </c>
      <c r="F26" s="104">
        <f>'Q3(ii)'!J28</f>
        <v>6.4260000000000428E-3</v>
      </c>
      <c r="G26" s="104">
        <f>'Q3(ii)'!K28</f>
        <v>0</v>
      </c>
    </row>
  </sheetData>
  <printOptions gridLines="1"/>
  <pageMargins left="0.70078740157480324" right="0.70078740157480324" top="0.75196850393700787" bottom="0.75196850393700787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4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7" sqref="F7:I7"/>
    </sheetView>
  </sheetViews>
  <sheetFormatPr defaultRowHeight="12.75" x14ac:dyDescent="0.2"/>
  <cols>
    <col min="1" max="1" width="5.7109375" style="8" customWidth="1"/>
    <col min="2" max="2" width="7.140625" style="8" bestFit="1" customWidth="1"/>
    <col min="3" max="3" width="11.28515625" style="8" customWidth="1"/>
    <col min="4" max="4" width="7.140625" style="8" bestFit="1" customWidth="1"/>
    <col min="5" max="5" width="9.85546875" style="8" bestFit="1" customWidth="1"/>
    <col min="6" max="6" width="10.42578125" style="8" bestFit="1" customWidth="1"/>
    <col min="7" max="7" width="9.85546875" style="8" bestFit="1" customWidth="1"/>
    <col min="8" max="8" width="11.5703125" style="8" customWidth="1"/>
    <col min="9" max="10" width="10.42578125" style="8" bestFit="1" customWidth="1"/>
    <col min="11" max="11" width="13.85546875" style="8" bestFit="1" customWidth="1"/>
    <col min="12" max="12" width="11.5703125" style="8" customWidth="1"/>
    <col min="13" max="13" width="21.5703125" style="8" customWidth="1"/>
    <col min="14" max="15" width="9.140625" style="8"/>
    <col min="16" max="16" width="4" style="9" customWidth="1"/>
    <col min="17" max="17" width="71.42578125" style="10" bestFit="1" customWidth="1"/>
    <col min="18" max="16384" width="9.140625" style="8"/>
  </cols>
  <sheetData>
    <row r="2" spans="1:17" s="2" customFormat="1" ht="25.5" x14ac:dyDescent="0.35">
      <c r="A2" s="3" t="s">
        <v>7</v>
      </c>
      <c r="P2" s="11"/>
      <c r="Q2" s="12"/>
    </row>
    <row r="4" spans="1:17" x14ac:dyDescent="0.2">
      <c r="C4" s="13" t="s">
        <v>8</v>
      </c>
    </row>
    <row r="5" spans="1:17" x14ac:dyDescent="0.2">
      <c r="B5" s="8" t="s">
        <v>9</v>
      </c>
      <c r="C5" s="121">
        <f>H43</f>
        <v>0.80418044619112528</v>
      </c>
      <c r="E5" s="42" t="s">
        <v>10</v>
      </c>
      <c r="F5" s="16"/>
      <c r="G5" s="16"/>
      <c r="H5" s="16"/>
      <c r="I5" s="16"/>
      <c r="J5" s="16"/>
      <c r="K5" s="16"/>
      <c r="L5" s="16"/>
    </row>
    <row r="6" spans="1:17" x14ac:dyDescent="0.2">
      <c r="B6" s="8" t="s">
        <v>11</v>
      </c>
      <c r="C6" s="127">
        <f>K43</f>
        <v>1.0574014036733297E-2</v>
      </c>
      <c r="E6" s="42" t="s">
        <v>10</v>
      </c>
      <c r="F6" s="17"/>
      <c r="G6" s="17"/>
      <c r="H6" s="17"/>
      <c r="I6" s="17"/>
      <c r="J6" s="17"/>
      <c r="K6" s="17"/>
      <c r="L6" s="17"/>
    </row>
    <row r="7" spans="1:17" x14ac:dyDescent="0.2">
      <c r="B7" s="8" t="s">
        <v>12</v>
      </c>
      <c r="C7" s="135">
        <f>M45</f>
        <v>8.916182041753655E-2</v>
      </c>
      <c r="E7" s="42" t="s">
        <v>10</v>
      </c>
      <c r="F7" s="18" t="s">
        <v>13</v>
      </c>
      <c r="G7" s="19" t="s">
        <v>10</v>
      </c>
      <c r="H7" s="18" t="s">
        <v>10</v>
      </c>
      <c r="I7" s="19" t="s">
        <v>10</v>
      </c>
      <c r="J7" s="18" t="s">
        <v>10</v>
      </c>
      <c r="K7" s="19" t="s">
        <v>10</v>
      </c>
      <c r="L7" s="18" t="s">
        <v>13</v>
      </c>
      <c r="M7" s="19" t="s">
        <v>13</v>
      </c>
    </row>
    <row r="9" spans="1:17" ht="42.75" customHeight="1" x14ac:dyDescent="0.2">
      <c r="B9" s="233" t="s">
        <v>1</v>
      </c>
      <c r="C9" s="233"/>
      <c r="D9" s="233" t="s">
        <v>2</v>
      </c>
      <c r="E9" s="233"/>
      <c r="F9" s="234" t="s">
        <v>14</v>
      </c>
      <c r="G9" s="233" t="s">
        <v>15</v>
      </c>
      <c r="H9" s="233" t="s">
        <v>16</v>
      </c>
      <c r="I9" s="233" t="s">
        <v>17</v>
      </c>
      <c r="J9" s="233" t="s">
        <v>18</v>
      </c>
      <c r="K9" s="233" t="s">
        <v>19</v>
      </c>
      <c r="L9" s="233" t="s">
        <v>20</v>
      </c>
      <c r="M9" s="233" t="s">
        <v>21</v>
      </c>
    </row>
    <row r="10" spans="1:17" ht="19.5" customHeight="1" x14ac:dyDescent="0.2">
      <c r="B10" s="21" t="s">
        <v>22</v>
      </c>
      <c r="C10" s="21" t="s">
        <v>4</v>
      </c>
      <c r="D10" s="21" t="s">
        <v>5</v>
      </c>
      <c r="E10" s="21" t="s">
        <v>6</v>
      </c>
      <c r="F10" s="234"/>
      <c r="G10" s="233"/>
      <c r="H10" s="233"/>
      <c r="I10" s="233"/>
      <c r="J10" s="233"/>
      <c r="K10" s="233"/>
      <c r="L10" s="233"/>
      <c r="M10" s="233"/>
      <c r="P10" s="9" t="s">
        <v>23</v>
      </c>
    </row>
    <row r="11" spans="1:17" x14ac:dyDescent="0.2">
      <c r="B11" s="22">
        <v>25</v>
      </c>
      <c r="C11" s="23">
        <v>8.4400000000000002E-4</v>
      </c>
      <c r="D11" s="22">
        <v>27</v>
      </c>
      <c r="E11" s="23">
        <v>9.7599999999999998E-4</v>
      </c>
      <c r="F11" s="116">
        <f>(1-C11)</f>
        <v>0.99915600000000004</v>
      </c>
      <c r="G11" s="117">
        <f>(1-E11)</f>
        <v>0.99902400000000002</v>
      </c>
      <c r="H11" s="118">
        <f t="shared" ref="H11:H43" si="0">F11*G11</f>
        <v>0.99818082374400008</v>
      </c>
      <c r="I11" s="122">
        <f t="shared" ref="I11:I43" si="1">(1-F11)</f>
        <v>8.439999999999559E-4</v>
      </c>
      <c r="J11" s="123">
        <f t="shared" ref="J11:J43" si="2">(1-G11)</f>
        <v>9.7599999999997689E-4</v>
      </c>
      <c r="K11" s="122">
        <f t="shared" ref="K11:K43" si="3">I11*J11</f>
        <v>8.2374399999993742E-7</v>
      </c>
      <c r="L11" s="136">
        <f>E11</f>
        <v>9.7599999999999998E-4</v>
      </c>
      <c r="M11" s="137">
        <f t="shared" ref="M11:M43" si="4">F11*L11</f>
        <v>9.7517625599999997E-4</v>
      </c>
      <c r="P11" s="138">
        <v>1</v>
      </c>
      <c r="Q11" s="139" t="s">
        <v>24</v>
      </c>
    </row>
    <row r="12" spans="1:17" x14ac:dyDescent="0.2">
      <c r="B12" s="22">
        <v>26</v>
      </c>
      <c r="C12" s="23">
        <v>9.2599999999999996E-4</v>
      </c>
      <c r="D12" s="22">
        <v>28</v>
      </c>
      <c r="E12" s="23">
        <v>1.065E-3</v>
      </c>
      <c r="F12" s="116">
        <f t="shared" ref="F12:F43" si="5">F11*(1-C12)</f>
        <v>0.99823078154400002</v>
      </c>
      <c r="G12" s="117">
        <f t="shared" ref="G12:G43" si="6">G11*(1-E12)</f>
        <v>0.99796003944</v>
      </c>
      <c r="H12" s="118">
        <f t="shared" si="0"/>
        <v>0.9961944301198723</v>
      </c>
      <c r="I12" s="122">
        <f t="shared" si="1"/>
        <v>1.7692184559999768E-3</v>
      </c>
      <c r="J12" s="123">
        <f t="shared" si="2"/>
        <v>2.0399605599999981E-3</v>
      </c>
      <c r="K12" s="122">
        <f t="shared" si="3"/>
        <v>3.6091358722640447E-6</v>
      </c>
      <c r="L12" s="136">
        <f t="shared" ref="L12:L43" si="7">G11*E12</f>
        <v>1.06396056E-3</v>
      </c>
      <c r="M12" s="137">
        <f t="shared" si="4"/>
        <v>1.0620781813407919E-3</v>
      </c>
      <c r="P12" s="138">
        <v>1</v>
      </c>
      <c r="Q12" s="139" t="s">
        <v>25</v>
      </c>
    </row>
    <row r="13" spans="1:17" x14ac:dyDescent="0.2">
      <c r="B13" s="22">
        <v>27</v>
      </c>
      <c r="C13" s="23">
        <v>1.016E-3</v>
      </c>
      <c r="D13" s="22">
        <v>29</v>
      </c>
      <c r="E13" s="23">
        <v>1.158E-3</v>
      </c>
      <c r="F13" s="116">
        <f t="shared" si="5"/>
        <v>0.99721657906995131</v>
      </c>
      <c r="G13" s="117">
        <f t="shared" si="6"/>
        <v>0.99680440171432849</v>
      </c>
      <c r="H13" s="118">
        <f t="shared" si="0"/>
        <v>0.99402987547943222</v>
      </c>
      <c r="I13" s="122">
        <f t="shared" si="1"/>
        <v>2.7834209300486856E-3</v>
      </c>
      <c r="J13" s="123">
        <f t="shared" si="2"/>
        <v>3.1955982856715082E-3</v>
      </c>
      <c r="K13" s="122">
        <f t="shared" si="3"/>
        <v>8.894695152365775E-6</v>
      </c>
      <c r="L13" s="136">
        <f t="shared" si="7"/>
        <v>1.15563772567152E-3</v>
      </c>
      <c r="M13" s="137">
        <f t="shared" si="4"/>
        <v>1.152421099438332E-3</v>
      </c>
      <c r="P13" s="140">
        <v>1</v>
      </c>
      <c r="Q13" s="141" t="s">
        <v>26</v>
      </c>
    </row>
    <row r="14" spans="1:17" x14ac:dyDescent="0.2">
      <c r="B14" s="22">
        <v>28</v>
      </c>
      <c r="C14" s="23">
        <v>1.114E-3</v>
      </c>
      <c r="D14" s="22">
        <v>30</v>
      </c>
      <c r="E14" s="23">
        <v>1.253E-3</v>
      </c>
      <c r="F14" s="116">
        <f t="shared" si="5"/>
        <v>0.99610567980086739</v>
      </c>
      <c r="G14" s="117">
        <f t="shared" si="6"/>
        <v>0.9955554057989805</v>
      </c>
      <c r="H14" s="118">
        <f t="shared" si="0"/>
        <v>0.99167839427282189</v>
      </c>
      <c r="I14" s="122">
        <f t="shared" si="1"/>
        <v>3.894320199132606E-3</v>
      </c>
      <c r="J14" s="123">
        <f t="shared" si="2"/>
        <v>4.4445942010195028E-3</v>
      </c>
      <c r="K14" s="122">
        <f t="shared" si="3"/>
        <v>1.7308672973977896E-5</v>
      </c>
      <c r="L14" s="136">
        <f t="shared" si="7"/>
        <v>1.2489959153480536E-3</v>
      </c>
      <c r="M14" s="137">
        <f t="shared" si="4"/>
        <v>1.2441319253262795E-3</v>
      </c>
      <c r="P14" s="138">
        <v>1</v>
      </c>
      <c r="Q14" s="139" t="s">
        <v>28</v>
      </c>
    </row>
    <row r="15" spans="1:17" x14ac:dyDescent="0.2">
      <c r="B15" s="22">
        <v>29</v>
      </c>
      <c r="C15" s="23">
        <v>1.2210000000000001E-3</v>
      </c>
      <c r="D15" s="22">
        <v>31</v>
      </c>
      <c r="E15" s="23">
        <v>1.351E-3</v>
      </c>
      <c r="F15" s="116">
        <f t="shared" si="5"/>
        <v>0.99488943476583047</v>
      </c>
      <c r="G15" s="117">
        <f t="shared" si="6"/>
        <v>0.9942104104457461</v>
      </c>
      <c r="H15" s="118">
        <f t="shared" si="0"/>
        <v>0.98912943328667269</v>
      </c>
      <c r="I15" s="122">
        <f t="shared" si="1"/>
        <v>5.1105652341695285E-3</v>
      </c>
      <c r="J15" s="123">
        <f t="shared" si="2"/>
        <v>5.7895895542539044E-3</v>
      </c>
      <c r="K15" s="122">
        <f t="shared" si="3"/>
        <v>2.9588075096081062E-5</v>
      </c>
      <c r="L15" s="136">
        <f t="shared" si="7"/>
        <v>1.3449953532344227E-3</v>
      </c>
      <c r="M15" s="137">
        <f t="shared" si="4"/>
        <v>1.3381216667420633E-3</v>
      </c>
      <c r="P15" s="142">
        <v>1</v>
      </c>
      <c r="Q15" s="143" t="s">
        <v>27</v>
      </c>
    </row>
    <row r="16" spans="1:17" x14ac:dyDescent="0.2">
      <c r="B16" s="22">
        <v>30</v>
      </c>
      <c r="C16" s="23">
        <v>1.3359999999999999E-3</v>
      </c>
      <c r="D16" s="22">
        <v>32</v>
      </c>
      <c r="E16" s="23">
        <v>1.451E-3</v>
      </c>
      <c r="F16" s="116">
        <f t="shared" si="5"/>
        <v>0.99356026248098328</v>
      </c>
      <c r="G16" s="117">
        <f t="shared" si="6"/>
        <v>0.9927678111401893</v>
      </c>
      <c r="H16" s="118">
        <f t="shared" si="0"/>
        <v>0.9863746470191177</v>
      </c>
      <c r="I16" s="122">
        <f t="shared" si="1"/>
        <v>6.4397375190167194E-3</v>
      </c>
      <c r="J16" s="123">
        <f t="shared" si="2"/>
        <v>7.2321888598106954E-3</v>
      </c>
      <c r="K16" s="122">
        <f t="shared" si="3"/>
        <v>4.6573397945137681E-5</v>
      </c>
      <c r="L16" s="136">
        <f t="shared" si="7"/>
        <v>1.4425993055567777E-3</v>
      </c>
      <c r="M16" s="137">
        <f t="shared" si="4"/>
        <v>1.4333093446838763E-3</v>
      </c>
      <c r="P16" s="144">
        <v>1</v>
      </c>
      <c r="Q16" s="145" t="s">
        <v>17</v>
      </c>
    </row>
    <row r="17" spans="2:17" x14ac:dyDescent="0.2">
      <c r="B17" s="22">
        <v>31</v>
      </c>
      <c r="C17" s="23">
        <v>1.4610000000000001E-3</v>
      </c>
      <c r="D17" s="22">
        <v>33</v>
      </c>
      <c r="E17" s="23">
        <v>1.554E-3</v>
      </c>
      <c r="F17" s="116">
        <f t="shared" si="5"/>
        <v>0.99210867093749855</v>
      </c>
      <c r="G17" s="117">
        <f t="shared" si="6"/>
        <v>0.99122504996167737</v>
      </c>
      <c r="H17" s="118">
        <f t="shared" si="0"/>
        <v>0.98340296691743534</v>
      </c>
      <c r="I17" s="122">
        <f t="shared" si="1"/>
        <v>7.8913290625014509E-3</v>
      </c>
      <c r="J17" s="123">
        <f t="shared" si="2"/>
        <v>8.7749500383226264E-3</v>
      </c>
      <c r="K17" s="122">
        <f t="shared" si="3"/>
        <v>6.9246018259413561E-5</v>
      </c>
      <c r="L17" s="136">
        <f t="shared" si="7"/>
        <v>1.5427611785118543E-3</v>
      </c>
      <c r="M17" s="137">
        <f t="shared" si="4"/>
        <v>1.5305867423873647E-3</v>
      </c>
      <c r="P17" s="146">
        <v>1</v>
      </c>
      <c r="Q17" s="147" t="s">
        <v>29</v>
      </c>
    </row>
    <row r="18" spans="2:17" x14ac:dyDescent="0.2">
      <c r="B18" s="22">
        <v>32</v>
      </c>
      <c r="C18" s="23">
        <v>1.5950000000000001E-3</v>
      </c>
      <c r="D18" s="22">
        <v>34</v>
      </c>
      <c r="E18" s="23">
        <v>1.6590000000000001E-3</v>
      </c>
      <c r="F18" s="116">
        <f t="shared" si="5"/>
        <v>0.99052625760735324</v>
      </c>
      <c r="G18" s="117">
        <f t="shared" si="6"/>
        <v>0.98958060760379096</v>
      </c>
      <c r="H18" s="118">
        <f t="shared" si="0"/>
        <v>0.98020557585059376</v>
      </c>
      <c r="I18" s="122">
        <f t="shared" si="1"/>
        <v>9.4737423926467557E-3</v>
      </c>
      <c r="J18" s="123">
        <f t="shared" si="2"/>
        <v>1.0419392396209037E-2</v>
      </c>
      <c r="K18" s="122">
        <f t="shared" si="3"/>
        <v>9.8710639449586823E-5</v>
      </c>
      <c r="L18" s="136">
        <f t="shared" si="7"/>
        <v>1.6444423578864228E-3</v>
      </c>
      <c r="M18" s="137">
        <f t="shared" si="4"/>
        <v>1.6288633346082503E-3</v>
      </c>
      <c r="P18" s="144">
        <v>1</v>
      </c>
      <c r="Q18" s="145" t="s">
        <v>30</v>
      </c>
    </row>
    <row r="19" spans="2:17" x14ac:dyDescent="0.2">
      <c r="B19" s="22">
        <v>33</v>
      </c>
      <c r="C19" s="23">
        <v>1.738E-3</v>
      </c>
      <c r="D19" s="22">
        <v>35</v>
      </c>
      <c r="E19" s="23">
        <v>1.766E-3</v>
      </c>
      <c r="F19" s="116">
        <f t="shared" si="5"/>
        <v>0.98880472297163169</v>
      </c>
      <c r="G19" s="117">
        <f t="shared" si="6"/>
        <v>0.98783300825076259</v>
      </c>
      <c r="H19" s="118">
        <f t="shared" si="0"/>
        <v>0.9767739440656289</v>
      </c>
      <c r="I19" s="122">
        <f t="shared" si="1"/>
        <v>1.1195277028368311E-2</v>
      </c>
      <c r="J19" s="123">
        <f t="shared" si="2"/>
        <v>1.216699174923741E-2</v>
      </c>
      <c r="K19" s="122">
        <f t="shared" si="3"/>
        <v>1.3621284323458435E-4</v>
      </c>
      <c r="L19" s="136">
        <f t="shared" si="7"/>
        <v>1.7475993530282948E-3</v>
      </c>
      <c r="M19" s="137">
        <f t="shared" si="4"/>
        <v>1.7280344941365457E-3</v>
      </c>
      <c r="P19" s="148">
        <v>1</v>
      </c>
      <c r="Q19" s="149" t="s">
        <v>31</v>
      </c>
    </row>
    <row r="20" spans="2:17" x14ac:dyDescent="0.2">
      <c r="B20" s="22">
        <v>34</v>
      </c>
      <c r="C20" s="23">
        <v>1.892E-3</v>
      </c>
      <c r="D20" s="22">
        <v>36</v>
      </c>
      <c r="E20" s="23">
        <v>1.874E-3</v>
      </c>
      <c r="F20" s="116">
        <f t="shared" si="5"/>
        <v>0.98693390443576934</v>
      </c>
      <c r="G20" s="117">
        <f t="shared" si="6"/>
        <v>0.98598180919330058</v>
      </c>
      <c r="H20" s="118">
        <f t="shared" si="0"/>
        <v>0.97309887664978789</v>
      </c>
      <c r="I20" s="122">
        <f t="shared" si="1"/>
        <v>1.3066095564230662E-2</v>
      </c>
      <c r="J20" s="123">
        <f t="shared" si="2"/>
        <v>1.4018190806699415E-2</v>
      </c>
      <c r="K20" s="122">
        <f t="shared" si="3"/>
        <v>1.8316302071795428E-4</v>
      </c>
      <c r="L20" s="136">
        <f t="shared" si="7"/>
        <v>1.8511990574619291E-3</v>
      </c>
      <c r="M20" s="137">
        <f t="shared" si="4"/>
        <v>1.8270111136687178E-3</v>
      </c>
      <c r="P20" s="129">
        <v>1</v>
      </c>
      <c r="Q20" s="130" t="s">
        <v>32</v>
      </c>
    </row>
    <row r="21" spans="2:17" x14ac:dyDescent="0.2">
      <c r="B21" s="22">
        <v>35</v>
      </c>
      <c r="C21" s="23">
        <v>2.055E-3</v>
      </c>
      <c r="D21" s="22">
        <v>37</v>
      </c>
      <c r="E21" s="23">
        <v>1.9840000000000001E-3</v>
      </c>
      <c r="F21" s="116">
        <f t="shared" si="5"/>
        <v>0.98490575526215385</v>
      </c>
      <c r="G21" s="117">
        <f t="shared" si="6"/>
        <v>0.98402562128386106</v>
      </c>
      <c r="H21" s="118">
        <f t="shared" si="0"/>
        <v>0.96917249772789138</v>
      </c>
      <c r="I21" s="122">
        <f t="shared" si="1"/>
        <v>1.5094244737846152E-2</v>
      </c>
      <c r="J21" s="123">
        <f t="shared" si="2"/>
        <v>1.5974378716138937E-2</v>
      </c>
      <c r="K21" s="122">
        <f t="shared" si="3"/>
        <v>2.4112118187644173E-4</v>
      </c>
      <c r="L21" s="136">
        <f t="shared" si="7"/>
        <v>1.9561879094395084E-3</v>
      </c>
      <c r="M21" s="137">
        <f t="shared" si="4"/>
        <v>1.9266607303812127E-3</v>
      </c>
      <c r="P21" s="129">
        <v>1</v>
      </c>
      <c r="Q21" s="130" t="s">
        <v>33</v>
      </c>
    </row>
    <row r="22" spans="2:17" x14ac:dyDescent="0.2">
      <c r="B22" s="22">
        <v>36</v>
      </c>
      <c r="C22" s="23">
        <v>2.2279999999999999E-3</v>
      </c>
      <c r="D22" s="22">
        <v>38</v>
      </c>
      <c r="E22" s="23">
        <v>2.0960000000000002E-3</v>
      </c>
      <c r="F22" s="116">
        <f t="shared" si="5"/>
        <v>0.9827113852394298</v>
      </c>
      <c r="G22" s="117">
        <f t="shared" si="6"/>
        <v>0.98196310358165007</v>
      </c>
      <c r="H22" s="118">
        <f t="shared" si="0"/>
        <v>0.96498632177473298</v>
      </c>
      <c r="I22" s="122">
        <f t="shared" si="1"/>
        <v>1.7288614760570198E-2</v>
      </c>
      <c r="J22" s="123">
        <f t="shared" si="2"/>
        <v>1.8036896418349935E-2</v>
      </c>
      <c r="K22" s="122">
        <f t="shared" si="3"/>
        <v>3.1183295365316041E-4</v>
      </c>
      <c r="L22" s="136">
        <f t="shared" si="7"/>
        <v>2.0625177022109728E-3</v>
      </c>
      <c r="M22" s="137">
        <f t="shared" si="4"/>
        <v>2.0268596282205908E-3</v>
      </c>
      <c r="P22" s="131">
        <v>2</v>
      </c>
      <c r="Q22" s="132" t="s">
        <v>34</v>
      </c>
    </row>
    <row r="23" spans="2:17" x14ac:dyDescent="0.2">
      <c r="B23" s="22">
        <v>37</v>
      </c>
      <c r="C23" s="23">
        <v>2.4120000000000001E-3</v>
      </c>
      <c r="D23" s="22">
        <v>39</v>
      </c>
      <c r="E23" s="23">
        <v>2.2079999999999999E-3</v>
      </c>
      <c r="F23" s="116">
        <f t="shared" si="5"/>
        <v>0.98034108537823228</v>
      </c>
      <c r="G23" s="117">
        <f t="shared" si="6"/>
        <v>0.97979492904894183</v>
      </c>
      <c r="H23" s="118">
        <f t="shared" si="0"/>
        <v>0.96053322419192777</v>
      </c>
      <c r="I23" s="122">
        <f t="shared" si="1"/>
        <v>1.965891462176772E-2</v>
      </c>
      <c r="J23" s="123">
        <f t="shared" si="2"/>
        <v>2.0205070951058168E-2</v>
      </c>
      <c r="K23" s="122">
        <f t="shared" si="3"/>
        <v>3.9720976475361166E-4</v>
      </c>
      <c r="L23" s="136">
        <f t="shared" si="7"/>
        <v>2.1681745327082834E-3</v>
      </c>
      <c r="M23" s="137">
        <f t="shared" si="4"/>
        <v>2.12555057468468E-3</v>
      </c>
      <c r="P23" s="133">
        <v>1</v>
      </c>
      <c r="Q23" s="134" t="s">
        <v>35</v>
      </c>
    </row>
    <row r="24" spans="2:17" x14ac:dyDescent="0.2">
      <c r="B24" s="22">
        <v>38</v>
      </c>
      <c r="C24" s="23">
        <v>2.6050000000000001E-3</v>
      </c>
      <c r="D24" s="22">
        <v>40</v>
      </c>
      <c r="E24" s="23">
        <v>2.3210000000000001E-3</v>
      </c>
      <c r="F24" s="116">
        <f t="shared" si="5"/>
        <v>0.977787296850822</v>
      </c>
      <c r="G24" s="117">
        <f t="shared" si="6"/>
        <v>0.97752082501861925</v>
      </c>
      <c r="H24" s="118">
        <f t="shared" si="0"/>
        <v>0.9558074451103411</v>
      </c>
      <c r="I24" s="122">
        <f t="shared" si="1"/>
        <v>2.2212703149178004E-2</v>
      </c>
      <c r="J24" s="123">
        <f t="shared" si="2"/>
        <v>2.2479174981380745E-2</v>
      </c>
      <c r="K24" s="122">
        <f t="shared" si="3"/>
        <v>4.9932324089983944E-4</v>
      </c>
      <c r="L24" s="136">
        <f t="shared" si="7"/>
        <v>2.2741040303225941E-3</v>
      </c>
      <c r="M24" s="137">
        <f t="shared" si="4"/>
        <v>2.223590032566689E-3</v>
      </c>
      <c r="P24" s="9">
        <f>SUM(P11:P23)</f>
        <v>14</v>
      </c>
      <c r="Q24" s="9" t="s">
        <v>36</v>
      </c>
    </row>
    <row r="25" spans="2:17" x14ac:dyDescent="0.2">
      <c r="B25" s="22">
        <v>39</v>
      </c>
      <c r="C25" s="23">
        <v>2.8080000000000002E-3</v>
      </c>
      <c r="D25" s="22">
        <v>41</v>
      </c>
      <c r="E25" s="23">
        <v>2.4350000000000001E-3</v>
      </c>
      <c r="F25" s="116">
        <f t="shared" si="5"/>
        <v>0.97504167012126486</v>
      </c>
      <c r="G25" s="117">
        <f t="shared" si="6"/>
        <v>0.97514056180969899</v>
      </c>
      <c r="H25" s="118">
        <f t="shared" si="0"/>
        <v>0.95080268198991746</v>
      </c>
      <c r="I25" s="122">
        <f t="shared" si="1"/>
        <v>2.4958329878735142E-2</v>
      </c>
      <c r="J25" s="123">
        <f t="shared" si="2"/>
        <v>2.4859438190301009E-2</v>
      </c>
      <c r="K25" s="122">
        <f t="shared" si="3"/>
        <v>6.2045005895355909E-4</v>
      </c>
      <c r="L25" s="136">
        <f t="shared" si="7"/>
        <v>2.3802632089203381E-3</v>
      </c>
      <c r="M25" s="137">
        <f t="shared" si="4"/>
        <v>2.3208558145538876E-3</v>
      </c>
    </row>
    <row r="26" spans="2:17" x14ac:dyDescent="0.2">
      <c r="B26" s="22">
        <v>40</v>
      </c>
      <c r="C26" s="23">
        <v>3.0200000000000001E-3</v>
      </c>
      <c r="D26" s="22">
        <v>42</v>
      </c>
      <c r="E26" s="23">
        <v>2.5479999999999999E-3</v>
      </c>
      <c r="F26" s="116">
        <f t="shared" si="5"/>
        <v>0.97209704427749866</v>
      </c>
      <c r="G26" s="117">
        <f t="shared" si="6"/>
        <v>0.97265590365820787</v>
      </c>
      <c r="H26" s="118">
        <f t="shared" si="0"/>
        <v>0.94551592904520332</v>
      </c>
      <c r="I26" s="122">
        <f t="shared" si="1"/>
        <v>2.7902955722501344E-2</v>
      </c>
      <c r="J26" s="123">
        <f t="shared" si="2"/>
        <v>2.7344096341792135E-2</v>
      </c>
      <c r="K26" s="122">
        <f t="shared" si="3"/>
        <v>7.6298110949683687E-4</v>
      </c>
      <c r="L26" s="136">
        <f t="shared" si="7"/>
        <v>2.4846581514911129E-3</v>
      </c>
      <c r="M26" s="137">
        <f t="shared" si="4"/>
        <v>2.4153288451045042E-3</v>
      </c>
    </row>
    <row r="27" spans="2:17" x14ac:dyDescent="0.2">
      <c r="B27" s="22">
        <v>41</v>
      </c>
      <c r="C27" s="23">
        <v>3.2420000000000001E-3</v>
      </c>
      <c r="D27" s="22">
        <v>43</v>
      </c>
      <c r="E27" s="23">
        <v>2.6610000000000002E-3</v>
      </c>
      <c r="F27" s="116">
        <f t="shared" si="5"/>
        <v>0.96894550565995108</v>
      </c>
      <c r="G27" s="117">
        <f t="shared" si="6"/>
        <v>0.97006766629857333</v>
      </c>
      <c r="H27" s="118">
        <f t="shared" si="0"/>
        <v>0.93994270544603986</v>
      </c>
      <c r="I27" s="122">
        <f t="shared" si="1"/>
        <v>3.1054494340048922E-2</v>
      </c>
      <c r="J27" s="123">
        <f t="shared" si="2"/>
        <v>2.9932333701426672E-2</v>
      </c>
      <c r="K27" s="122">
        <f t="shared" si="3"/>
        <v>9.2953348751541017E-4</v>
      </c>
      <c r="L27" s="136">
        <f t="shared" si="7"/>
        <v>2.5882373596344912E-3</v>
      </c>
      <c r="M27" s="137">
        <f t="shared" si="4"/>
        <v>2.5078609571990186E-3</v>
      </c>
    </row>
    <row r="28" spans="2:17" x14ac:dyDescent="0.2">
      <c r="B28" s="22">
        <v>42</v>
      </c>
      <c r="C28" s="23">
        <v>3.473E-3</v>
      </c>
      <c r="D28" s="22">
        <v>44</v>
      </c>
      <c r="E28" s="23">
        <v>2.774E-3</v>
      </c>
      <c r="F28" s="116">
        <f t="shared" si="5"/>
        <v>0.96558035791879415</v>
      </c>
      <c r="G28" s="117">
        <f t="shared" si="6"/>
        <v>0.96737669859226105</v>
      </c>
      <c r="H28" s="118">
        <f t="shared" si="0"/>
        <v>0.93407993886901686</v>
      </c>
      <c r="I28" s="122">
        <f t="shared" si="1"/>
        <v>3.4419642081205848E-2</v>
      </c>
      <c r="J28" s="123">
        <f t="shared" si="2"/>
        <v>3.2623301407738947E-2</v>
      </c>
      <c r="K28" s="122">
        <f t="shared" si="3"/>
        <v>1.1228823579616735E-3</v>
      </c>
      <c r="L28" s="136">
        <f t="shared" si="7"/>
        <v>2.6909677063122425E-3</v>
      </c>
      <c r="M28" s="137">
        <f t="shared" si="4"/>
        <v>2.5983455610088914E-3</v>
      </c>
    </row>
    <row r="29" spans="2:17" x14ac:dyDescent="0.2">
      <c r="B29" s="22">
        <v>43</v>
      </c>
      <c r="C29" s="23">
        <v>3.7109999999999999E-3</v>
      </c>
      <c r="D29" s="22">
        <v>45</v>
      </c>
      <c r="E29" s="23">
        <v>2.8869999999999998E-3</v>
      </c>
      <c r="F29" s="116">
        <f t="shared" si="5"/>
        <v>0.96199708921055749</v>
      </c>
      <c r="G29" s="117">
        <f t="shared" si="6"/>
        <v>0.96458388206342527</v>
      </c>
      <c r="H29" s="118">
        <f t="shared" si="0"/>
        <v>0.92792688684443481</v>
      </c>
      <c r="I29" s="122">
        <f t="shared" si="1"/>
        <v>3.8002910789442512E-2</v>
      </c>
      <c r="J29" s="123">
        <f t="shared" si="2"/>
        <v>3.5416117936574731E-2</v>
      </c>
      <c r="K29" s="122">
        <f t="shared" si="3"/>
        <v>1.3459155704520244E-3</v>
      </c>
      <c r="L29" s="136">
        <f t="shared" si="7"/>
        <v>2.7928165288358575E-3</v>
      </c>
      <c r="M29" s="137">
        <f t="shared" si="4"/>
        <v>2.6866813714392281E-3</v>
      </c>
    </row>
    <row r="30" spans="2:17" x14ac:dyDescent="0.2">
      <c r="B30" s="22">
        <v>44</v>
      </c>
      <c r="C30" s="23">
        <v>3.9569999999999996E-3</v>
      </c>
      <c r="D30" s="22">
        <v>46</v>
      </c>
      <c r="E30" s="23">
        <v>3.0119999999999999E-3</v>
      </c>
      <c r="F30" s="116">
        <f t="shared" si="5"/>
        <v>0.95819046672855135</v>
      </c>
      <c r="G30" s="117">
        <f t="shared" si="6"/>
        <v>0.96167855541065017</v>
      </c>
      <c r="H30" s="118">
        <f t="shared" si="0"/>
        <v>0.92147122385176994</v>
      </c>
      <c r="I30" s="122">
        <f t="shared" si="1"/>
        <v>4.1809533271448651E-2</v>
      </c>
      <c r="J30" s="123">
        <f t="shared" si="2"/>
        <v>3.8321444589349829E-2</v>
      </c>
      <c r="K30" s="122">
        <f t="shared" si="3"/>
        <v>1.6022017125683977E-3</v>
      </c>
      <c r="L30" s="136">
        <f t="shared" si="7"/>
        <v>2.9053266527750369E-3</v>
      </c>
      <c r="M30" s="137">
        <f t="shared" si="4"/>
        <v>2.7838563014214125E-3</v>
      </c>
    </row>
    <row r="31" spans="2:17" x14ac:dyDescent="0.2">
      <c r="B31" s="22">
        <v>45</v>
      </c>
      <c r="C31" s="23">
        <v>4.2100000000000002E-3</v>
      </c>
      <c r="D31" s="22">
        <v>47</v>
      </c>
      <c r="E31" s="23">
        <v>3.15E-3</v>
      </c>
      <c r="F31" s="116">
        <f t="shared" si="5"/>
        <v>0.95415648486362414</v>
      </c>
      <c r="G31" s="117">
        <f t="shared" si="6"/>
        <v>0.95864926796110661</v>
      </c>
      <c r="H31" s="118">
        <f t="shared" si="0"/>
        <v>0.91470141573485597</v>
      </c>
      <c r="I31" s="122">
        <f t="shared" si="1"/>
        <v>4.5843515136375856E-2</v>
      </c>
      <c r="J31" s="123">
        <f t="shared" si="2"/>
        <v>4.135073203889339E-2</v>
      </c>
      <c r="K31" s="122">
        <f t="shared" si="3"/>
        <v>1.8956629101252313E-3</v>
      </c>
      <c r="L31" s="136">
        <f t="shared" si="7"/>
        <v>3.0292874495435481E-3</v>
      </c>
      <c r="M31" s="137">
        <f t="shared" si="4"/>
        <v>2.8904142644979652E-3</v>
      </c>
    </row>
    <row r="32" spans="2:17" x14ac:dyDescent="0.2">
      <c r="B32" s="22">
        <v>46</v>
      </c>
      <c r="C32" s="23">
        <v>4.4689999999999999E-3</v>
      </c>
      <c r="D32" s="22">
        <v>48</v>
      </c>
      <c r="E32" s="23">
        <v>3.3050000000000002E-3</v>
      </c>
      <c r="F32" s="116">
        <f t="shared" si="5"/>
        <v>0.94989235953276863</v>
      </c>
      <c r="G32" s="117">
        <f t="shared" si="6"/>
        <v>0.95548093213049512</v>
      </c>
      <c r="H32" s="118">
        <f t="shared" si="0"/>
        <v>0.90760403711000515</v>
      </c>
      <c r="I32" s="122">
        <f t="shared" si="1"/>
        <v>5.0107640467231374E-2</v>
      </c>
      <c r="J32" s="123">
        <f t="shared" si="2"/>
        <v>4.451906786950488E-2</v>
      </c>
      <c r="K32" s="122">
        <f t="shared" si="3"/>
        <v>2.2307454467414226E-3</v>
      </c>
      <c r="L32" s="136">
        <f t="shared" si="7"/>
        <v>3.1683358306114576E-3</v>
      </c>
      <c r="M32" s="137">
        <f t="shared" si="4"/>
        <v>3.0095779979317319E-3</v>
      </c>
    </row>
    <row r="33" spans="2:13" x14ac:dyDescent="0.2">
      <c r="B33" s="22">
        <v>47</v>
      </c>
      <c r="C33" s="23">
        <v>4.7320000000000001E-3</v>
      </c>
      <c r="D33" s="22">
        <v>49</v>
      </c>
      <c r="E33" s="23">
        <v>3.4780000000000002E-3</v>
      </c>
      <c r="F33" s="116">
        <f t="shared" si="5"/>
        <v>0.94539746888745957</v>
      </c>
      <c r="G33" s="117">
        <f t="shared" si="6"/>
        <v>0.95215776944854524</v>
      </c>
      <c r="H33" s="118">
        <f t="shared" si="0"/>
        <v>0.90016754521818398</v>
      </c>
      <c r="I33" s="122">
        <f t="shared" si="1"/>
        <v>5.4602531112540431E-2</v>
      </c>
      <c r="J33" s="123">
        <f t="shared" si="2"/>
        <v>4.7842230551454756E-2</v>
      </c>
      <c r="K33" s="122">
        <f t="shared" si="3"/>
        <v>2.6123068821791405E-3</v>
      </c>
      <c r="L33" s="136">
        <f t="shared" si="7"/>
        <v>3.3231626819498622E-3</v>
      </c>
      <c r="M33" s="137">
        <f t="shared" si="4"/>
        <v>3.1417095882166615E-3</v>
      </c>
    </row>
    <row r="34" spans="2:13" x14ac:dyDescent="0.2">
      <c r="B34" s="22">
        <v>48</v>
      </c>
      <c r="C34" s="23">
        <v>5.0000000000000001E-3</v>
      </c>
      <c r="D34" s="22">
        <v>50</v>
      </c>
      <c r="E34" s="23">
        <v>3.6719999999999999E-3</v>
      </c>
      <c r="F34" s="116">
        <f t="shared" si="5"/>
        <v>0.94067048154302224</v>
      </c>
      <c r="G34" s="117">
        <f t="shared" si="6"/>
        <v>0.94866144611913017</v>
      </c>
      <c r="H34" s="118">
        <f t="shared" si="0"/>
        <v>0.89237781934218208</v>
      </c>
      <c r="I34" s="122">
        <f t="shared" si="1"/>
        <v>5.9329518456977759E-2</v>
      </c>
      <c r="J34" s="123">
        <f t="shared" si="2"/>
        <v>5.1338553880869831E-2</v>
      </c>
      <c r="K34" s="122">
        <f t="shared" si="3"/>
        <v>3.0458916800296136E-3</v>
      </c>
      <c r="L34" s="136">
        <f t="shared" si="7"/>
        <v>3.4963233294150581E-3</v>
      </c>
      <c r="M34" s="137">
        <f t="shared" si="4"/>
        <v>3.2888881499109654E-3</v>
      </c>
    </row>
    <row r="35" spans="2:13" x14ac:dyDescent="0.2">
      <c r="B35" s="22">
        <v>49</v>
      </c>
      <c r="C35" s="23">
        <v>5.2690000000000002E-3</v>
      </c>
      <c r="D35" s="22">
        <v>51</v>
      </c>
      <c r="E35" s="23">
        <v>3.8869999999999998E-3</v>
      </c>
      <c r="F35" s="116">
        <f t="shared" si="5"/>
        <v>0.93571408877577211</v>
      </c>
      <c r="G35" s="117">
        <f t="shared" si="6"/>
        <v>0.94497399907806512</v>
      </c>
      <c r="H35" s="118">
        <f t="shared" si="0"/>
        <v>0.88422548446412907</v>
      </c>
      <c r="I35" s="122">
        <f t="shared" si="1"/>
        <v>6.4285911224227887E-2</v>
      </c>
      <c r="J35" s="123">
        <f t="shared" si="2"/>
        <v>5.5026000921934881E-2</v>
      </c>
      <c r="K35" s="122">
        <f t="shared" si="3"/>
        <v>3.5373966102917875E-3</v>
      </c>
      <c r="L35" s="136">
        <f t="shared" si="7"/>
        <v>3.6874470410650589E-3</v>
      </c>
      <c r="M35" s="137">
        <f t="shared" si="4"/>
        <v>3.4503961479391086E-3</v>
      </c>
    </row>
    <row r="36" spans="2:13" x14ac:dyDescent="0.2">
      <c r="B36" s="22">
        <v>50</v>
      </c>
      <c r="C36" s="23">
        <v>5.5409999999999999E-3</v>
      </c>
      <c r="D36" s="22">
        <v>52</v>
      </c>
      <c r="E36" s="23">
        <v>4.1279999999999997E-3</v>
      </c>
      <c r="F36" s="116">
        <f t="shared" si="5"/>
        <v>0.93052929700986553</v>
      </c>
      <c r="G36" s="117">
        <f t="shared" si="6"/>
        <v>0.94107314640987083</v>
      </c>
      <c r="H36" s="118">
        <f t="shared" si="0"/>
        <v>0.87569613336363938</v>
      </c>
      <c r="I36" s="122">
        <f t="shared" si="1"/>
        <v>6.947070299013447E-2</v>
      </c>
      <c r="J36" s="123">
        <f t="shared" si="2"/>
        <v>5.8926853590129169E-2</v>
      </c>
      <c r="K36" s="122">
        <f t="shared" si="3"/>
        <v>4.0936899439030028E-3</v>
      </c>
      <c r="L36" s="136">
        <f t="shared" si="7"/>
        <v>3.9008526681942528E-3</v>
      </c>
      <c r="M36" s="137">
        <f t="shared" si="4"/>
        <v>3.6298576910738563E-3</v>
      </c>
    </row>
    <row r="37" spans="2:13" x14ac:dyDescent="0.2">
      <c r="B37" s="22">
        <v>51</v>
      </c>
      <c r="C37" s="23">
        <v>5.8120000000000003E-3</v>
      </c>
      <c r="D37" s="22">
        <v>53</v>
      </c>
      <c r="E37" s="23">
        <v>4.3959999999999997E-3</v>
      </c>
      <c r="F37" s="116">
        <f t="shared" si="5"/>
        <v>0.92512106073564415</v>
      </c>
      <c r="G37" s="117">
        <f t="shared" si="6"/>
        <v>0.93693618885825303</v>
      </c>
      <c r="H37" s="118">
        <f t="shared" si="0"/>
        <v>0.86677940087815886</v>
      </c>
      <c r="I37" s="122">
        <f t="shared" si="1"/>
        <v>7.4878939264355848E-2</v>
      </c>
      <c r="J37" s="123">
        <f t="shared" si="2"/>
        <v>6.3063811141746973E-2</v>
      </c>
      <c r="K37" s="122">
        <f t="shared" si="3"/>
        <v>4.7221512842616793E-3</v>
      </c>
      <c r="L37" s="136">
        <f t="shared" si="7"/>
        <v>4.1369575516177915E-3</v>
      </c>
      <c r="M37" s="137">
        <f t="shared" si="4"/>
        <v>3.8271865583709846E-3</v>
      </c>
    </row>
    <row r="38" spans="2:13" x14ac:dyDescent="0.2">
      <c r="B38" s="22">
        <v>52</v>
      </c>
      <c r="C38" s="23">
        <v>6.0819999999999997E-3</v>
      </c>
      <c r="D38" s="22">
        <v>54</v>
      </c>
      <c r="E38" s="23">
        <v>4.6959999999999997E-3</v>
      </c>
      <c r="F38" s="116">
        <f t="shared" si="5"/>
        <v>0.91949447444424992</v>
      </c>
      <c r="G38" s="117">
        <f t="shared" si="6"/>
        <v>0.9325363365153746</v>
      </c>
      <c r="H38" s="118">
        <f t="shared" si="0"/>
        <v>0.8574620086443705</v>
      </c>
      <c r="I38" s="122">
        <f t="shared" si="1"/>
        <v>8.0505525555750079E-2</v>
      </c>
      <c r="J38" s="123">
        <f t="shared" si="2"/>
        <v>6.7463663484625402E-2</v>
      </c>
      <c r="K38" s="122">
        <f t="shared" si="3"/>
        <v>5.4311976847460338E-3</v>
      </c>
      <c r="L38" s="136">
        <f t="shared" si="7"/>
        <v>4.399852342878356E-3</v>
      </c>
      <c r="M38" s="137">
        <f t="shared" si="4"/>
        <v>4.0456399176472353E-3</v>
      </c>
    </row>
    <row r="39" spans="2:13" x14ac:dyDescent="0.2">
      <c r="B39" s="22">
        <v>53</v>
      </c>
      <c r="C39" s="23">
        <v>6.3489999999999996E-3</v>
      </c>
      <c r="D39" s="22">
        <v>55</v>
      </c>
      <c r="E39" s="23">
        <v>5.0299999999999997E-3</v>
      </c>
      <c r="F39" s="116">
        <f t="shared" si="5"/>
        <v>0.91365660402600335</v>
      </c>
      <c r="G39" s="117">
        <f t="shared" si="6"/>
        <v>0.9278456787427023</v>
      </c>
      <c r="H39" s="118">
        <f t="shared" si="0"/>
        <v>0.84773233190025943</v>
      </c>
      <c r="I39" s="122">
        <f t="shared" si="1"/>
        <v>8.6343395973996651E-2</v>
      </c>
      <c r="J39" s="123">
        <f t="shared" si="2"/>
        <v>7.2154321257297704E-2</v>
      </c>
      <c r="K39" s="122">
        <f t="shared" si="3"/>
        <v>6.2300491315538196E-3</v>
      </c>
      <c r="L39" s="136">
        <f t="shared" si="7"/>
        <v>4.6906577726723341E-3</v>
      </c>
      <c r="M39" s="137">
        <f t="shared" si="4"/>
        <v>4.2856504512279814E-3</v>
      </c>
    </row>
    <row r="40" spans="2:13" x14ac:dyDescent="0.2">
      <c r="B40" s="22">
        <v>54</v>
      </c>
      <c r="C40" s="23">
        <v>6.6119999999999998E-3</v>
      </c>
      <c r="D40" s="22">
        <v>56</v>
      </c>
      <c r="E40" s="23">
        <v>5.4029999999999998E-3</v>
      </c>
      <c r="F40" s="116">
        <f t="shared" si="5"/>
        <v>0.90761550656018342</v>
      </c>
      <c r="G40" s="117">
        <f t="shared" si="6"/>
        <v>0.92283252854045539</v>
      </c>
      <c r="H40" s="119">
        <f t="shared" si="0"/>
        <v>0.8375771128614603</v>
      </c>
      <c r="I40" s="124">
        <f t="shared" si="1"/>
        <v>9.2384493439816584E-2</v>
      </c>
      <c r="J40" s="125">
        <f t="shared" si="2"/>
        <v>7.7167471459544612E-2</v>
      </c>
      <c r="K40" s="124">
        <f t="shared" si="3"/>
        <v>7.1290777608215327E-3</v>
      </c>
      <c r="L40" s="136">
        <f t="shared" si="7"/>
        <v>5.0131502022468201E-3</v>
      </c>
      <c r="M40" s="137">
        <f t="shared" si="4"/>
        <v>4.5500128602745339E-3</v>
      </c>
    </row>
    <row r="41" spans="2:13" x14ac:dyDescent="0.2">
      <c r="B41" s="22">
        <v>55</v>
      </c>
      <c r="C41" s="23">
        <v>6.8789999999999997E-3</v>
      </c>
      <c r="D41" s="22">
        <v>57</v>
      </c>
      <c r="E41" s="23">
        <v>5.8190000000000004E-3</v>
      </c>
      <c r="F41" s="116">
        <f t="shared" si="5"/>
        <v>0.9013720194905559</v>
      </c>
      <c r="G41" s="117">
        <f t="shared" si="6"/>
        <v>0.91746256605687848</v>
      </c>
      <c r="H41" s="119">
        <f t="shared" si="0"/>
        <v>0.82697508597367608</v>
      </c>
      <c r="I41" s="124">
        <f t="shared" si="1"/>
        <v>9.8627980509444102E-2</v>
      </c>
      <c r="J41" s="125">
        <f t="shared" si="2"/>
        <v>8.2537433943121519E-2</v>
      </c>
      <c r="K41" s="124">
        <f t="shared" si="3"/>
        <v>8.1405004262417192E-3</v>
      </c>
      <c r="L41" s="136">
        <f t="shared" si="7"/>
        <v>5.3699624835769101E-3</v>
      </c>
      <c r="M41" s="137">
        <f t="shared" si="4"/>
        <v>4.8403339284102407E-3</v>
      </c>
    </row>
    <row r="42" spans="2:13" x14ac:dyDescent="0.2">
      <c r="B42" s="22">
        <v>56</v>
      </c>
      <c r="C42" s="23">
        <v>7.1929999999999997E-3</v>
      </c>
      <c r="D42" s="22">
        <v>58</v>
      </c>
      <c r="E42" s="23">
        <v>6.2839999999999997E-3</v>
      </c>
      <c r="F42" s="116">
        <f t="shared" si="5"/>
        <v>0.89488845055436028</v>
      </c>
      <c r="G42" s="117">
        <f t="shared" si="6"/>
        <v>0.91169723129177704</v>
      </c>
      <c r="H42" s="119">
        <f t="shared" si="0"/>
        <v>0.81586732268539863</v>
      </c>
      <c r="I42" s="124">
        <f t="shared" si="1"/>
        <v>0.10511154944563972</v>
      </c>
      <c r="J42" s="125">
        <f t="shared" si="2"/>
        <v>8.8302768708222956E-2</v>
      </c>
      <c r="K42" s="124">
        <f t="shared" si="3"/>
        <v>9.2816408392612654E-3</v>
      </c>
      <c r="L42" s="136">
        <f t="shared" si="7"/>
        <v>5.7653347651014245E-3</v>
      </c>
      <c r="M42" s="137">
        <f t="shared" si="4"/>
        <v>5.1593314948688001E-3</v>
      </c>
    </row>
    <row r="43" spans="2:13" x14ac:dyDescent="0.2">
      <c r="B43" s="22">
        <v>57</v>
      </c>
      <c r="C43" s="23">
        <v>7.574E-3</v>
      </c>
      <c r="D43" s="22">
        <v>59</v>
      </c>
      <c r="E43" s="23">
        <v>6.8019999999999999E-3</v>
      </c>
      <c r="F43" s="116">
        <f t="shared" si="5"/>
        <v>0.88811056542986155</v>
      </c>
      <c r="G43" s="117">
        <f t="shared" si="6"/>
        <v>0.90549586672453042</v>
      </c>
      <c r="H43" s="120">
        <f t="shared" si="0"/>
        <v>0.80418044619112528</v>
      </c>
      <c r="I43" s="124">
        <f t="shared" si="1"/>
        <v>0.11188943457013845</v>
      </c>
      <c r="J43" s="125">
        <f t="shared" si="2"/>
        <v>9.4504133275469582E-2</v>
      </c>
      <c r="K43" s="126">
        <f t="shared" si="3"/>
        <v>1.0574014036733297E-2</v>
      </c>
      <c r="L43" s="136">
        <f t="shared" si="7"/>
        <v>6.2013645672466672E-3</v>
      </c>
      <c r="M43" s="137">
        <f t="shared" si="4"/>
        <v>5.5074973922541459E-3</v>
      </c>
    </row>
    <row r="44" spans="2:13" x14ac:dyDescent="0.2">
      <c r="C44" s="29"/>
    </row>
    <row r="45" spans="2:13" x14ac:dyDescent="0.2">
      <c r="C45" s="29"/>
      <c r="L45" s="30"/>
      <c r="M45" s="128">
        <f>SUM(M11:M43)</f>
        <v>8.916182041753655E-2</v>
      </c>
    </row>
    <row r="46" spans="2:13" x14ac:dyDescent="0.2">
      <c r="C46" s="29"/>
      <c r="F46" s="9"/>
      <c r="G46" s="9"/>
      <c r="H46" s="31"/>
      <c r="I46" s="9"/>
      <c r="J46" s="9"/>
      <c r="K46" s="31"/>
      <c r="L46" s="9"/>
      <c r="M46" s="31"/>
    </row>
    <row r="47" spans="2:13" x14ac:dyDescent="0.2">
      <c r="C47" s="29"/>
    </row>
    <row r="48" spans="2:13" x14ac:dyDescent="0.2">
      <c r="C48" s="29"/>
    </row>
    <row r="49" spans="3:3" x14ac:dyDescent="0.2">
      <c r="C49" s="29"/>
    </row>
    <row r="50" spans="3:3" x14ac:dyDescent="0.2">
      <c r="C50" s="29"/>
    </row>
    <row r="51" spans="3:3" x14ac:dyDescent="0.2">
      <c r="C51" s="29"/>
    </row>
    <row r="52" spans="3:3" x14ac:dyDescent="0.2">
      <c r="C52" s="29"/>
    </row>
    <row r="53" spans="3:3" x14ac:dyDescent="0.2">
      <c r="C53" s="29"/>
    </row>
    <row r="54" spans="3:3" x14ac:dyDescent="0.2">
      <c r="C54" s="29"/>
    </row>
    <row r="55" spans="3:3" x14ac:dyDescent="0.2">
      <c r="C55" s="29"/>
    </row>
    <row r="56" spans="3:3" x14ac:dyDescent="0.2">
      <c r="C56" s="29"/>
    </row>
    <row r="57" spans="3:3" x14ac:dyDescent="0.2">
      <c r="C57" s="29"/>
    </row>
    <row r="58" spans="3:3" x14ac:dyDescent="0.2">
      <c r="C58" s="29"/>
    </row>
    <row r="59" spans="3:3" x14ac:dyDescent="0.2">
      <c r="C59" s="29"/>
    </row>
    <row r="60" spans="3:3" x14ac:dyDescent="0.2">
      <c r="C60" s="29"/>
    </row>
    <row r="61" spans="3:3" x14ac:dyDescent="0.2">
      <c r="C61" s="29"/>
    </row>
    <row r="62" spans="3:3" x14ac:dyDescent="0.2">
      <c r="C62" s="29"/>
    </row>
    <row r="63" spans="3:3" x14ac:dyDescent="0.2">
      <c r="C63" s="29"/>
    </row>
    <row r="64" spans="3:3" x14ac:dyDescent="0.2">
      <c r="C64" s="29"/>
    </row>
    <row r="65" spans="3:3" x14ac:dyDescent="0.2">
      <c r="C65" s="29"/>
    </row>
    <row r="66" spans="3:3" x14ac:dyDescent="0.2">
      <c r="C66" s="29"/>
    </row>
    <row r="67" spans="3:3" x14ac:dyDescent="0.2">
      <c r="C67" s="29"/>
    </row>
    <row r="68" spans="3:3" x14ac:dyDescent="0.2">
      <c r="C68" s="29"/>
    </row>
    <row r="69" spans="3:3" x14ac:dyDescent="0.2">
      <c r="C69" s="29"/>
    </row>
    <row r="70" spans="3:3" x14ac:dyDescent="0.2">
      <c r="C70" s="29"/>
    </row>
    <row r="71" spans="3:3" x14ac:dyDescent="0.2">
      <c r="C71" s="29"/>
    </row>
    <row r="72" spans="3:3" x14ac:dyDescent="0.2">
      <c r="C72" s="29"/>
    </row>
    <row r="73" spans="3:3" x14ac:dyDescent="0.2">
      <c r="C73" s="29"/>
    </row>
    <row r="74" spans="3:3" x14ac:dyDescent="0.2">
      <c r="C74" s="29"/>
    </row>
  </sheetData>
  <mergeCells count="10">
    <mergeCell ref="F9:F10"/>
    <mergeCell ref="G9:G10"/>
    <mergeCell ref="H9:H10"/>
    <mergeCell ref="B9:C9"/>
    <mergeCell ref="D9:E9"/>
    <mergeCell ref="I9:I10"/>
    <mergeCell ref="J9:J10"/>
    <mergeCell ref="K9:K10"/>
    <mergeCell ref="L9:L10"/>
    <mergeCell ref="M9:M10"/>
  </mergeCells>
  <printOptions gridLines="1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workbookViewId="0"/>
  </sheetViews>
  <sheetFormatPr defaultRowHeight="12.75" x14ac:dyDescent="0.2"/>
  <cols>
    <col min="1" max="1" width="3.7109375" style="7" customWidth="1"/>
    <col min="2" max="2" width="3.28515625" style="7" customWidth="1"/>
    <col min="3" max="16384" width="9.140625" style="7"/>
  </cols>
  <sheetData>
    <row r="2" spans="1:19" s="32" customFormat="1" ht="25.5" x14ac:dyDescent="0.35">
      <c r="A2" s="33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4" spans="1:19" x14ac:dyDescent="0.2">
      <c r="B4" s="7" t="s">
        <v>9</v>
      </c>
      <c r="C4" s="14">
        <f>'Q1'!C5</f>
        <v>0.80418044619112528</v>
      </c>
    </row>
    <row r="6" spans="1:19" x14ac:dyDescent="0.2">
      <c r="B6" s="7" t="s">
        <v>11</v>
      </c>
      <c r="C6" s="14">
        <f>'Q1'!C6</f>
        <v>1.0574014036733297E-2</v>
      </c>
    </row>
    <row r="8" spans="1:19" x14ac:dyDescent="0.2">
      <c r="B8" s="7" t="s">
        <v>12</v>
      </c>
      <c r="C8" s="14">
        <f>'Q1'!C7</f>
        <v>8.916182041753655E-2</v>
      </c>
    </row>
  </sheetData>
  <printOptions gridLines="1"/>
  <pageMargins left="0.70078740157480324" right="0.70078740157480324" top="0.75196850393700787" bottom="0.75196850393700787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A2:AH31"/>
  <sheetViews>
    <sheetView topLeftCell="E8" workbookViewId="0">
      <selection activeCell="L20" sqref="L20"/>
    </sheetView>
  </sheetViews>
  <sheetFormatPr defaultRowHeight="14.25" x14ac:dyDescent="0.2"/>
  <cols>
    <col min="1" max="1" width="9.140625" style="1"/>
    <col min="2" max="2" width="9.140625" style="35"/>
    <col min="3" max="16384" width="9.140625" style="1"/>
  </cols>
  <sheetData>
    <row r="2" spans="1:34" s="2" customFormat="1" ht="25.5" x14ac:dyDescent="0.35">
      <c r="A2" s="3" t="s">
        <v>38</v>
      </c>
    </row>
    <row r="4" spans="1:34" ht="15" x14ac:dyDescent="0.2">
      <c r="B4" s="232" t="s">
        <v>39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6" spans="1:34" ht="15" customHeight="1" x14ac:dyDescent="0.2">
      <c r="B6" s="236" t="s">
        <v>40</v>
      </c>
      <c r="C6" s="235" t="s">
        <v>41</v>
      </c>
      <c r="D6" s="235"/>
      <c r="E6" s="235"/>
      <c r="F6" s="235"/>
      <c r="G6" s="235"/>
      <c r="H6" s="235"/>
      <c r="I6" s="235"/>
      <c r="J6" s="235"/>
      <c r="K6" s="235"/>
      <c r="L6" s="235"/>
    </row>
    <row r="7" spans="1:34" x14ac:dyDescent="0.2">
      <c r="B7" s="237"/>
      <c r="C7" s="36">
        <v>1</v>
      </c>
      <c r="D7" s="36">
        <v>2</v>
      </c>
      <c r="E7" s="36">
        <v>3</v>
      </c>
      <c r="F7" s="36">
        <v>4</v>
      </c>
      <c r="G7" s="36">
        <v>5</v>
      </c>
      <c r="H7" s="36">
        <v>6</v>
      </c>
      <c r="I7" s="36">
        <v>7</v>
      </c>
      <c r="J7" s="36">
        <v>8</v>
      </c>
      <c r="K7" s="36">
        <v>9</v>
      </c>
      <c r="L7" s="36">
        <v>10</v>
      </c>
    </row>
    <row r="8" spans="1:34" x14ac:dyDescent="0.2">
      <c r="B8" s="36" t="s">
        <v>42</v>
      </c>
      <c r="C8" s="37">
        <v>1.9689999999999999E-2</v>
      </c>
      <c r="D8" s="37">
        <v>1.942E-2</v>
      </c>
      <c r="E8" s="37">
        <v>1.8600000000000002E-2</v>
      </c>
      <c r="F8" s="37">
        <v>1.728E-2</v>
      </c>
      <c r="G8" s="37">
        <v>1.4289999999999999E-2</v>
      </c>
      <c r="H8" s="37">
        <v>1.489E-2</v>
      </c>
      <c r="I8" s="37">
        <v>1.4719999999999999E-2</v>
      </c>
      <c r="J8" s="37">
        <v>1.4789999999999999E-2</v>
      </c>
      <c r="K8" s="37">
        <v>1.528E-2</v>
      </c>
      <c r="L8" s="37">
        <v>1.8070000000000003E-2</v>
      </c>
      <c r="O8" s="38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4" x14ac:dyDescent="0.2">
      <c r="B9" s="36" t="s">
        <v>43</v>
      </c>
      <c r="C9" s="40">
        <v>1.9619999999999999E-2</v>
      </c>
      <c r="D9" s="40">
        <v>1.942E-2</v>
      </c>
      <c r="E9" s="40">
        <v>1.8510000000000002E-2</v>
      </c>
      <c r="F9" s="40">
        <v>1.7150000000000002E-2</v>
      </c>
      <c r="G9" s="40">
        <v>1.4249999999999999E-2</v>
      </c>
      <c r="H9" s="40">
        <v>1.485E-2</v>
      </c>
      <c r="I9" s="40">
        <v>1.4119999999999999E-2</v>
      </c>
      <c r="J9" s="40">
        <v>1.4930000000000001E-2</v>
      </c>
      <c r="K9" s="40">
        <v>1.5559999999999999E-2</v>
      </c>
      <c r="L9" s="40">
        <v>1.8290000000000001E-2</v>
      </c>
      <c r="O9" s="38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spans="1:34" x14ac:dyDescent="0.2">
      <c r="B10" s="36" t="s">
        <v>44</v>
      </c>
      <c r="C10" s="40">
        <v>1.9819999999999997E-2</v>
      </c>
      <c r="D10" s="40">
        <v>1.9789999999999999E-2</v>
      </c>
      <c r="E10" s="40">
        <v>1.9950000000000002E-2</v>
      </c>
      <c r="F10" s="40">
        <v>1.7580000000000002E-2</v>
      </c>
      <c r="G10" s="40">
        <v>1.478E-2</v>
      </c>
      <c r="H10" s="40">
        <v>1.532E-2</v>
      </c>
      <c r="I10" s="40">
        <v>1.473E-2</v>
      </c>
      <c r="J10" s="40">
        <v>1.546E-2</v>
      </c>
      <c r="K10" s="40">
        <v>1.6070000000000001E-2</v>
      </c>
      <c r="L10" s="40">
        <v>1.8839999999999996E-2</v>
      </c>
      <c r="O10" s="38"/>
      <c r="W10" s="39"/>
      <c r="X10" s="39"/>
      <c r="Y10" s="39"/>
      <c r="Z10" s="39"/>
      <c r="AA10" s="39"/>
      <c r="AB10" s="39"/>
      <c r="AC10" s="39"/>
      <c r="AD10" s="39"/>
      <c r="AE10" s="39"/>
      <c r="AF10" s="39"/>
    </row>
    <row r="11" spans="1:34" x14ac:dyDescent="0.2">
      <c r="B11" s="36" t="s">
        <v>45</v>
      </c>
      <c r="C11" s="40">
        <v>2.0839999999999997E-2</v>
      </c>
      <c r="D11" s="40">
        <v>2.0549999999999999E-2</v>
      </c>
      <c r="E11" s="40">
        <v>2.0039999999999999E-2</v>
      </c>
      <c r="F11" s="40">
        <v>1.8050000000000004E-2</v>
      </c>
      <c r="G11" s="40">
        <v>1.5300000000000001E-2</v>
      </c>
      <c r="H11" s="40">
        <v>1.6080000000000001E-2</v>
      </c>
      <c r="I11" s="40">
        <v>1.5300000000000001E-2</v>
      </c>
      <c r="J11" s="40">
        <v>1.6260000000000004E-2</v>
      </c>
      <c r="K11" s="40">
        <v>1.7299999999999999E-2</v>
      </c>
      <c r="L11" s="40">
        <v>2.0309999999999998E-2</v>
      </c>
      <c r="O11" s="38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34" x14ac:dyDescent="0.2">
      <c r="B12" s="36" t="s">
        <v>46</v>
      </c>
      <c r="C12" s="40">
        <v>2.044E-2</v>
      </c>
      <c r="D12" s="40">
        <v>2.0199999999999999E-2</v>
      </c>
      <c r="E12" s="40">
        <v>1.958E-2</v>
      </c>
      <c r="F12" s="40">
        <v>1.7550000000000003E-2</v>
      </c>
      <c r="G12" s="40">
        <v>1.5219999999999999E-2</v>
      </c>
      <c r="H12" s="40">
        <v>1.5900000000000001E-2</v>
      </c>
      <c r="I12" s="40">
        <v>1.528E-2</v>
      </c>
      <c r="J12" s="40">
        <v>1.6E-2</v>
      </c>
      <c r="K12" s="40">
        <v>1.719E-2</v>
      </c>
      <c r="L12" s="40">
        <v>2.0129999999999995E-2</v>
      </c>
      <c r="O12" s="38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1:34" x14ac:dyDescent="0.2">
      <c r="B13" s="36" t="s">
        <v>47</v>
      </c>
      <c r="C13" s="40">
        <v>2.078E-2</v>
      </c>
      <c r="D13" s="40">
        <v>2.0229999999999998E-2</v>
      </c>
      <c r="E13" s="40">
        <v>1.968E-2</v>
      </c>
      <c r="F13" s="40">
        <v>1.7909999999999999E-2</v>
      </c>
      <c r="G13" s="40">
        <v>1.5430000000000001E-2</v>
      </c>
      <c r="H13" s="40">
        <v>1.6230000000000001E-2</v>
      </c>
      <c r="I13" s="40">
        <v>1.5470000000000001E-2</v>
      </c>
      <c r="J13" s="40">
        <v>1.6280000000000003E-2</v>
      </c>
      <c r="K13" s="40">
        <v>1.721E-2</v>
      </c>
      <c r="L13" s="40">
        <v>2.0199999999999999E-2</v>
      </c>
      <c r="O13" s="38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4" x14ac:dyDescent="0.2">
      <c r="B14" s="36" t="s">
        <v>48</v>
      </c>
      <c r="C14" s="40">
        <v>2.0650000000000002E-2</v>
      </c>
      <c r="D14" s="40">
        <v>2.0080000000000001E-2</v>
      </c>
      <c r="E14" s="40">
        <v>1.9560000000000001E-2</v>
      </c>
      <c r="F14" s="40">
        <v>1.78E-2</v>
      </c>
      <c r="G14" s="40">
        <v>1.5720000000000001E-2</v>
      </c>
      <c r="H14" s="40">
        <v>1.6369999999999999E-2</v>
      </c>
      <c r="I14" s="40">
        <v>1.5780000000000002E-2</v>
      </c>
      <c r="J14" s="40">
        <v>1.6500000000000001E-2</v>
      </c>
      <c r="K14" s="40">
        <v>1.746E-2</v>
      </c>
      <c r="L14" s="40">
        <v>2.0369999999999999E-2</v>
      </c>
      <c r="O14" s="38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4" x14ac:dyDescent="0.2">
      <c r="B15" s="36" t="s">
        <v>49</v>
      </c>
      <c r="C15" s="40">
        <v>1.9809999999999998E-2</v>
      </c>
      <c r="D15" s="40">
        <v>1.966E-2</v>
      </c>
      <c r="E15" s="40">
        <v>1.942E-2</v>
      </c>
      <c r="F15" s="40">
        <v>1.7570000000000002E-2</v>
      </c>
      <c r="G15" s="40">
        <v>1.495E-2</v>
      </c>
      <c r="H15" s="40">
        <v>1.583E-2</v>
      </c>
      <c r="I15" s="40">
        <v>1.498E-2</v>
      </c>
      <c r="J15" s="40">
        <v>1.5640000000000001E-2</v>
      </c>
      <c r="K15" s="40">
        <v>1.651E-2</v>
      </c>
      <c r="L15" s="40">
        <v>1.9219999999999998E-2</v>
      </c>
      <c r="O15" s="38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4" x14ac:dyDescent="0.2">
      <c r="B16" s="36" t="s">
        <v>50</v>
      </c>
      <c r="C16" s="40">
        <v>1.9699999999999999E-2</v>
      </c>
      <c r="D16" s="40">
        <v>1.915E-2</v>
      </c>
      <c r="E16" s="40">
        <v>1.966E-2</v>
      </c>
      <c r="F16" s="40">
        <v>1.8680000000000002E-2</v>
      </c>
      <c r="G16" s="40">
        <v>1.4759999999999999E-2</v>
      </c>
      <c r="H16" s="40">
        <v>1.6639999999999999E-2</v>
      </c>
      <c r="I16" s="40">
        <v>1.5770000000000003E-2</v>
      </c>
      <c r="J16" s="40">
        <v>1.6210000000000002E-2</v>
      </c>
      <c r="K16" s="40">
        <v>1.6889999999999999E-2</v>
      </c>
      <c r="L16" s="40">
        <v>1.942E-2</v>
      </c>
      <c r="O16" s="38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2:32" x14ac:dyDescent="0.2">
      <c r="B17" s="36" t="s">
        <v>51</v>
      </c>
      <c r="C17" s="40">
        <v>1.95E-2</v>
      </c>
      <c r="D17" s="40">
        <v>1.8700000000000001E-2</v>
      </c>
      <c r="E17" s="40">
        <v>1.9229999999999997E-2</v>
      </c>
      <c r="F17" s="40">
        <v>1.7929999999999998E-2</v>
      </c>
      <c r="G17" s="40">
        <v>1.515E-2</v>
      </c>
      <c r="H17" s="40">
        <v>1.5880000000000002E-2</v>
      </c>
      <c r="I17" s="40">
        <v>1.5130000000000001E-2</v>
      </c>
      <c r="J17" s="40">
        <v>1.554E-2</v>
      </c>
      <c r="K17" s="40">
        <v>1.593E-2</v>
      </c>
      <c r="L17" s="40">
        <v>1.8489999999999999E-2</v>
      </c>
      <c r="O17" s="38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2:32" x14ac:dyDescent="0.2">
      <c r="B18" s="36" t="s">
        <v>52</v>
      </c>
      <c r="C18" s="40">
        <v>2.1400000000000002E-2</v>
      </c>
      <c r="D18" s="40">
        <v>2.0750000000000001E-2</v>
      </c>
      <c r="E18" s="40">
        <v>2.0450000000000003E-2</v>
      </c>
      <c r="F18" s="40">
        <v>1.8839999999999996E-2</v>
      </c>
      <c r="G18" s="40">
        <v>1.67E-2</v>
      </c>
      <c r="H18" s="40">
        <v>1.7309999999999999E-2</v>
      </c>
      <c r="I18" s="40">
        <v>1.6389999999999998E-2</v>
      </c>
      <c r="J18" s="40">
        <v>1.7260000000000001E-2</v>
      </c>
      <c r="K18" s="40">
        <v>1.9050000000000001E-2</v>
      </c>
      <c r="L18" s="40">
        <v>2.2179999999999998E-2</v>
      </c>
      <c r="O18" s="38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2:32" x14ac:dyDescent="0.2">
      <c r="B19" s="36" t="s">
        <v>53</v>
      </c>
      <c r="C19" s="40">
        <v>2.128E-2</v>
      </c>
      <c r="D19" s="40">
        <v>2.069E-2</v>
      </c>
      <c r="E19" s="40">
        <v>2.0289999999999999E-2</v>
      </c>
      <c r="F19" s="40">
        <v>1.8500000000000003E-2</v>
      </c>
      <c r="G19" s="40">
        <v>1.6789999999999999E-2</v>
      </c>
      <c r="H19" s="40">
        <v>1.7229999999999999E-2</v>
      </c>
      <c r="I19" s="40">
        <v>1.6639999999999999E-2</v>
      </c>
      <c r="J19" s="40">
        <v>1.7520000000000001E-2</v>
      </c>
      <c r="K19" s="40">
        <v>1.8660000000000003E-2</v>
      </c>
      <c r="L19" s="40">
        <v>2.1600000000000001E-2</v>
      </c>
      <c r="O19" s="38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2:32" x14ac:dyDescent="0.2">
      <c r="B20" s="36" t="s">
        <v>54</v>
      </c>
      <c r="C20" s="40">
        <v>2.0879999999999999E-2</v>
      </c>
      <c r="D20" s="40">
        <v>2.0529999999999996E-2</v>
      </c>
      <c r="E20" s="40">
        <v>1.9910000000000001E-2</v>
      </c>
      <c r="F20" s="40">
        <v>1.788E-2</v>
      </c>
      <c r="G20" s="40">
        <v>1.553E-2</v>
      </c>
      <c r="H20" s="40">
        <v>1.5970000000000002E-2</v>
      </c>
      <c r="I20" s="40">
        <v>1.5570000000000001E-2</v>
      </c>
      <c r="J20" s="40">
        <v>1.6309999999999998E-2</v>
      </c>
      <c r="K20" s="40">
        <v>1.7500000000000002E-2</v>
      </c>
      <c r="L20" s="40">
        <v>2.0729999999999998E-2</v>
      </c>
      <c r="O20" s="38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2:32" x14ac:dyDescent="0.2">
      <c r="B21" s="36" t="s">
        <v>55</v>
      </c>
      <c r="C21" s="40">
        <v>2.0229999999999998E-2</v>
      </c>
      <c r="D21" s="40">
        <v>2.0060000000000001E-2</v>
      </c>
      <c r="E21" s="40">
        <v>1.899E-2</v>
      </c>
      <c r="F21" s="40">
        <v>1.7219999999999999E-2</v>
      </c>
      <c r="G21" s="40">
        <v>1.4249999999999999E-2</v>
      </c>
      <c r="H21" s="40">
        <v>1.5009999999999999E-2</v>
      </c>
      <c r="I21" s="40">
        <v>1.5019999999999999E-2</v>
      </c>
      <c r="J21" s="40">
        <v>1.494E-2</v>
      </c>
      <c r="K21" s="40">
        <v>1.5559999999999999E-2</v>
      </c>
      <c r="L21" s="40">
        <v>1.8409999999999999E-2</v>
      </c>
      <c r="O21" s="38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2:32" x14ac:dyDescent="0.2">
      <c r="B22" s="36" t="s">
        <v>56</v>
      </c>
      <c r="C22" s="40">
        <v>2.027E-2</v>
      </c>
      <c r="D22" s="40">
        <v>1.9739999999999997E-2</v>
      </c>
      <c r="E22" s="40">
        <v>1.9089999999999999E-2</v>
      </c>
      <c r="F22" s="40">
        <v>1.7770000000000001E-2</v>
      </c>
      <c r="G22" s="40">
        <v>1.47E-2</v>
      </c>
      <c r="H22" s="40">
        <v>1.5679999999999999E-2</v>
      </c>
      <c r="I22" s="40">
        <v>1.3999999999999999E-2</v>
      </c>
      <c r="J22" s="40">
        <v>1.4630000000000001E-2</v>
      </c>
      <c r="K22" s="40">
        <v>1.5980000000000001E-2</v>
      </c>
      <c r="L22" s="40">
        <v>1.8770000000000002E-2</v>
      </c>
      <c r="O22" s="38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2:32" x14ac:dyDescent="0.2">
      <c r="B23" s="36" t="s">
        <v>57</v>
      </c>
      <c r="C23" s="40">
        <v>2.0309999999999998E-2</v>
      </c>
      <c r="D23" s="40">
        <v>2.0169999999999997E-2</v>
      </c>
      <c r="E23" s="40">
        <v>1.9129999999999998E-2</v>
      </c>
      <c r="F23" s="40">
        <v>1.797E-2</v>
      </c>
      <c r="G23" s="40">
        <v>1.5049999999999999E-2</v>
      </c>
      <c r="H23" s="40">
        <v>1.6150000000000001E-2</v>
      </c>
      <c r="I23" s="40">
        <v>1.439E-2</v>
      </c>
      <c r="J23" s="40">
        <v>1.494E-2</v>
      </c>
      <c r="K23" s="40">
        <v>1.6290000000000002E-2</v>
      </c>
      <c r="L23" s="40">
        <v>1.9E-2</v>
      </c>
      <c r="O23" s="38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2:32" x14ac:dyDescent="0.2">
      <c r="B24" s="36" t="s">
        <v>58</v>
      </c>
      <c r="C24" s="40">
        <v>2.0369999999999999E-2</v>
      </c>
      <c r="D24" s="40">
        <v>1.9869999999999999E-2</v>
      </c>
      <c r="E24" s="40">
        <v>1.8700000000000001E-2</v>
      </c>
      <c r="F24" s="40">
        <v>1.738E-2</v>
      </c>
      <c r="G24" s="40">
        <v>1.4059999999999998E-2</v>
      </c>
      <c r="H24" s="40">
        <v>1.511E-2</v>
      </c>
      <c r="I24" s="40">
        <v>1.4089999999999998E-2</v>
      </c>
      <c r="J24" s="40">
        <v>1.4449999999999999E-2</v>
      </c>
      <c r="K24" s="40">
        <v>1.5259999999999999E-2</v>
      </c>
      <c r="L24" s="40">
        <v>1.822E-2</v>
      </c>
      <c r="O24" s="38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2:32" x14ac:dyDescent="0.2">
      <c r="B25" s="36" t="s">
        <v>59</v>
      </c>
      <c r="C25" s="40">
        <v>2.0460000000000002E-2</v>
      </c>
      <c r="D25" s="40">
        <v>1.9990000000000001E-2</v>
      </c>
      <c r="E25" s="40">
        <v>1.9E-2</v>
      </c>
      <c r="F25" s="40">
        <v>1.7550000000000003E-2</v>
      </c>
      <c r="G25" s="40">
        <v>1.379E-2</v>
      </c>
      <c r="H25" s="40">
        <v>1.545E-2</v>
      </c>
      <c r="I25" s="40">
        <v>1.376E-2</v>
      </c>
      <c r="J25" s="40">
        <v>1.4219999999999998E-2</v>
      </c>
      <c r="K25" s="40">
        <v>1.4959999999999999E-2</v>
      </c>
      <c r="L25" s="40">
        <v>1.848E-2</v>
      </c>
      <c r="O25" s="38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2:32" x14ac:dyDescent="0.2">
      <c r="B26" s="36" t="s">
        <v>60</v>
      </c>
      <c r="C26" s="40">
        <v>2.0389999999999998E-2</v>
      </c>
      <c r="D26" s="40">
        <v>1.9990000000000001E-2</v>
      </c>
      <c r="E26" s="40">
        <v>1.9450000000000002E-2</v>
      </c>
      <c r="F26" s="40">
        <v>1.772E-2</v>
      </c>
      <c r="G26" s="40">
        <v>1.3999999999999999E-2</v>
      </c>
      <c r="H26" s="40">
        <v>1.532E-2</v>
      </c>
      <c r="I26" s="40">
        <v>1.4089999999999998E-2</v>
      </c>
      <c r="J26" s="40">
        <v>1.46E-2</v>
      </c>
      <c r="K26" s="40">
        <v>1.4789999999999999E-2</v>
      </c>
      <c r="L26" s="40">
        <v>1.7750000000000002E-2</v>
      </c>
      <c r="O26" s="38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2:32" x14ac:dyDescent="0.2">
      <c r="B27" s="36" t="s">
        <v>61</v>
      </c>
      <c r="C27" s="40">
        <v>2.043E-2</v>
      </c>
      <c r="D27" s="40">
        <v>1.9910000000000001E-2</v>
      </c>
      <c r="E27" s="40">
        <v>1.898E-2</v>
      </c>
      <c r="F27" s="40">
        <v>1.7439999999999997E-2</v>
      </c>
      <c r="G27" s="40">
        <v>1.3959999999999998E-2</v>
      </c>
      <c r="H27" s="40">
        <v>1.507E-2</v>
      </c>
      <c r="I27" s="40">
        <v>1.3919999999999998E-2</v>
      </c>
      <c r="J27" s="40">
        <v>1.453E-2</v>
      </c>
      <c r="K27" s="40">
        <v>1.5019999999999999E-2</v>
      </c>
      <c r="L27" s="40">
        <v>1.762E-2</v>
      </c>
      <c r="O27" s="38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2:32" x14ac:dyDescent="0.2"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2:32" x14ac:dyDescent="0.2"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2:32" x14ac:dyDescent="0.2"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2:32" x14ac:dyDescent="0.2"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</sheetData>
  <mergeCells count="3">
    <mergeCell ref="B4:L4"/>
    <mergeCell ref="C6:L6"/>
    <mergeCell ref="B6:B7"/>
  </mergeCells>
  <printOptions gridLines="1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opLeftCell="D2" workbookViewId="0">
      <selection activeCell="J11" sqref="J11"/>
    </sheetView>
  </sheetViews>
  <sheetFormatPr defaultRowHeight="12.75" x14ac:dyDescent="0.2"/>
  <cols>
    <col min="1" max="13" width="9.140625" style="7"/>
    <col min="14" max="14" width="15.7109375" style="7" customWidth="1"/>
    <col min="15" max="15" width="6.140625" style="7" customWidth="1"/>
    <col min="16" max="16" width="11.140625" style="7" customWidth="1"/>
    <col min="17" max="17" width="9.140625" style="7"/>
    <col min="18" max="18" width="2.85546875" style="7" customWidth="1"/>
    <col min="19" max="19" width="44.140625" style="7" bestFit="1" customWidth="1"/>
    <col min="20" max="16384" width="9.140625" style="7"/>
  </cols>
  <sheetData>
    <row r="1" spans="1:19" s="1" customFormat="1" ht="14.25" x14ac:dyDescent="0.2"/>
    <row r="2" spans="1:19" s="2" customFormat="1" ht="24.4" customHeight="1" x14ac:dyDescent="0.35">
      <c r="A2" s="3" t="s">
        <v>62</v>
      </c>
    </row>
    <row r="3" spans="1:19" s="1" customFormat="1" ht="14.25" x14ac:dyDescent="0.2"/>
    <row r="4" spans="1:19" x14ac:dyDescent="0.2">
      <c r="C4" s="238" t="s">
        <v>63</v>
      </c>
      <c r="D4" s="238"/>
      <c r="E4" s="238"/>
      <c r="F4" s="238"/>
      <c r="G4" s="238"/>
      <c r="H4" s="238"/>
      <c r="I4" s="238"/>
      <c r="J4" s="238"/>
      <c r="K4" s="238"/>
      <c r="L4" s="238"/>
      <c r="N4" s="19" t="s">
        <v>10</v>
      </c>
      <c r="O4" s="41"/>
      <c r="P4" s="42" t="s">
        <v>63</v>
      </c>
    </row>
    <row r="5" spans="1:19" s="10" customFormat="1" x14ac:dyDescent="0.2"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43"/>
      <c r="N5" s="43"/>
      <c r="O5" s="43"/>
      <c r="P5" s="43"/>
    </row>
    <row r="6" spans="1:19" ht="28.5" customHeight="1" x14ac:dyDescent="0.2">
      <c r="B6" s="241" t="s">
        <v>40</v>
      </c>
      <c r="C6" s="244" t="s">
        <v>64</v>
      </c>
      <c r="D6" s="244"/>
      <c r="E6" s="244"/>
      <c r="F6" s="244"/>
      <c r="G6" s="244"/>
      <c r="H6" s="244"/>
      <c r="I6" s="244"/>
      <c r="J6" s="244"/>
      <c r="K6" s="244"/>
      <c r="L6" s="244"/>
      <c r="M6" s="43"/>
      <c r="N6" s="243" t="s">
        <v>65</v>
      </c>
      <c r="O6" s="43"/>
      <c r="P6" s="240" t="s">
        <v>66</v>
      </c>
    </row>
    <row r="7" spans="1:19" x14ac:dyDescent="0.2">
      <c r="B7" s="242"/>
      <c r="C7" s="44">
        <v>1</v>
      </c>
      <c r="D7" s="44">
        <v>2</v>
      </c>
      <c r="E7" s="44">
        <v>3</v>
      </c>
      <c r="F7" s="44">
        <v>4</v>
      </c>
      <c r="G7" s="44">
        <v>5</v>
      </c>
      <c r="H7" s="44">
        <v>6</v>
      </c>
      <c r="I7" s="44">
        <v>7</v>
      </c>
      <c r="J7" s="44">
        <v>8</v>
      </c>
      <c r="K7" s="44">
        <v>9</v>
      </c>
      <c r="L7" s="44">
        <v>10</v>
      </c>
      <c r="M7" s="43"/>
      <c r="N7" s="243"/>
      <c r="O7" s="43"/>
      <c r="P7" s="240"/>
    </row>
    <row r="8" spans="1:19" x14ac:dyDescent="0.2">
      <c r="B8" s="44" t="s">
        <v>42</v>
      </c>
      <c r="C8" s="45">
        <f>(1+'Q2 Base'!C8)^-C$7</f>
        <v>0.98069020976963583</v>
      </c>
      <c r="D8" s="45">
        <f>(1+'Q2 Base'!D8)^-D$7</f>
        <v>0.9622628081982425</v>
      </c>
      <c r="E8" s="45">
        <f>(1+'Q2 Base'!E8)^-E$7</f>
        <v>0.94621316114687604</v>
      </c>
      <c r="F8" s="45">
        <f>(1+'Q2 Base'!F8)^-F$7</f>
        <v>0.93376582493123228</v>
      </c>
      <c r="G8" s="45">
        <f>(1+'Q2 Base'!G8)^-G$7</f>
        <v>0.93151377443898764</v>
      </c>
      <c r="H8" s="45">
        <f>(1+'Q2 Base'!H8)^-H$7</f>
        <v>0.91513709583230607</v>
      </c>
      <c r="I8" s="45">
        <f>(1+'Q2 Base'!I8)^-I$7</f>
        <v>0.90276862595551988</v>
      </c>
      <c r="J8" s="45">
        <f>(1+'Q2 Base'!J8)^-J$7</f>
        <v>0.88918180769138855</v>
      </c>
      <c r="K8" s="45">
        <f>(1+'Q2 Base'!K8)^-K$7</f>
        <v>0.87242383078356678</v>
      </c>
      <c r="L8" s="45">
        <f>(1+'Q2 Base'!L8)^-L$7</f>
        <v>0.83603334491331693</v>
      </c>
      <c r="M8" s="43"/>
      <c r="N8" s="46">
        <f t="shared" ref="N8:N27" si="0">L8</f>
        <v>0.83603334491331693</v>
      </c>
      <c r="O8" s="43"/>
      <c r="P8" s="47">
        <f t="shared" ref="P8:P27" si="1">(1-N8)/SUM(C8:L8)</f>
        <v>1.7880787922172434E-2</v>
      </c>
      <c r="R8" s="9" t="s">
        <v>23</v>
      </c>
      <c r="S8" s="10"/>
    </row>
    <row r="9" spans="1:19" x14ac:dyDescent="0.2">
      <c r="B9" s="44" t="s">
        <v>43</v>
      </c>
      <c r="C9" s="45">
        <f>(1+'Q2 Base'!C9)^-C$7</f>
        <v>0.9807575371216728</v>
      </c>
      <c r="D9" s="45">
        <f>(1+'Q2 Base'!D9)^-D$7</f>
        <v>0.9622628081982425</v>
      </c>
      <c r="E9" s="45">
        <f>(1+'Q2 Base'!E9)^-E$7</f>
        <v>0.94646401791734336</v>
      </c>
      <c r="F9" s="45">
        <f>(1+'Q2 Base'!F9)^-F$7</f>
        <v>0.93424328776788534</v>
      </c>
      <c r="G9" s="45">
        <f>(1+'Q2 Base'!G9)^-G$7</f>
        <v>0.93169747416813342</v>
      </c>
      <c r="H9" s="45">
        <f>(1+'Q2 Base'!H9)^-H$7</f>
        <v>0.91535353623832205</v>
      </c>
      <c r="I9" s="45">
        <f>(1+'Q2 Base'!I9)^-I$7</f>
        <v>0.90651410457116999</v>
      </c>
      <c r="J9" s="45">
        <f>(1+'Q2 Base'!J9)^-J$7</f>
        <v>0.88820104748854523</v>
      </c>
      <c r="K9" s="45">
        <f>(1+'Q2 Base'!K9)^-K$7</f>
        <v>0.8702613933002834</v>
      </c>
      <c r="L9" s="45">
        <f>(1+'Q2 Base'!L9)^-L$7</f>
        <v>0.83422886267963869</v>
      </c>
      <c r="M9" s="43"/>
      <c r="N9" s="46">
        <f t="shared" si="0"/>
        <v>0.83422886267963869</v>
      </c>
      <c r="O9" s="43"/>
      <c r="P9" s="47">
        <f t="shared" si="1"/>
        <v>1.8077581821827702E-2</v>
      </c>
      <c r="R9" s="24">
        <v>1</v>
      </c>
      <c r="S9" s="25" t="s">
        <v>67</v>
      </c>
    </row>
    <row r="10" spans="1:19" x14ac:dyDescent="0.2">
      <c r="B10" s="44" t="s">
        <v>44</v>
      </c>
      <c r="C10" s="45">
        <f>(1+'Q2 Base'!C10)^-C$7</f>
        <v>0.9805651977800004</v>
      </c>
      <c r="D10" s="45">
        <f>(1+'Q2 Base'!D10)^-D$7</f>
        <v>0.96156467887680552</v>
      </c>
      <c r="E10" s="45">
        <f>(1+'Q2 Base'!E10)^-E$7</f>
        <v>0.94246092494802092</v>
      </c>
      <c r="F10" s="45">
        <f>(1+'Q2 Base'!F10)^-F$7</f>
        <v>0.93266515121020965</v>
      </c>
      <c r="G10" s="45">
        <f>(1+'Q2 Base'!G10)^-G$7</f>
        <v>0.92926697629383448</v>
      </c>
      <c r="H10" s="45">
        <f>(1+'Q2 Base'!H10)^-H$7</f>
        <v>0.9128141284100626</v>
      </c>
      <c r="I10" s="45">
        <f>(1+'Q2 Base'!I10)^-I$7</f>
        <v>0.90270635132527144</v>
      </c>
      <c r="J10" s="45">
        <f>(1+'Q2 Base'!J10)^-J$7</f>
        <v>0.8844991782898951</v>
      </c>
      <c r="K10" s="45">
        <f>(1+'Q2 Base'!K10)^-K$7</f>
        <v>0.8663379536936352</v>
      </c>
      <c r="L10" s="45">
        <f>(1+'Q2 Base'!L10)^-L$7</f>
        <v>0.82973637237300213</v>
      </c>
      <c r="M10" s="43"/>
      <c r="N10" s="46">
        <f t="shared" si="0"/>
        <v>0.82973637237300213</v>
      </c>
      <c r="O10" s="43"/>
      <c r="P10" s="47">
        <f t="shared" si="1"/>
        <v>1.862307359517159E-2</v>
      </c>
      <c r="R10" s="24">
        <v>1</v>
      </c>
      <c r="S10" s="25" t="s">
        <v>68</v>
      </c>
    </row>
    <row r="11" spans="1:19" x14ac:dyDescent="0.2">
      <c r="B11" s="44" t="s">
        <v>45</v>
      </c>
      <c r="C11" s="45">
        <f>(1+'Q2 Base'!C11)^-C$7</f>
        <v>0.97958543944202814</v>
      </c>
      <c r="D11" s="45">
        <f>(1+'Q2 Base'!D11)^-D$7</f>
        <v>0.96013306445734969</v>
      </c>
      <c r="E11" s="45">
        <f>(1+'Q2 Base'!E11)^-E$7</f>
        <v>0.94221148179036873</v>
      </c>
      <c r="F11" s="45">
        <f>(1+'Q2 Base'!F11)^-F$7</f>
        <v>0.93094402099014051</v>
      </c>
      <c r="G11" s="45">
        <f>(1+'Q2 Base'!G11)^-G$7</f>
        <v>0.92688972766463817</v>
      </c>
      <c r="H11" s="45">
        <f>(1+'Q2 Base'!H11)^-H$7</f>
        <v>0.90872522131602917</v>
      </c>
      <c r="I11" s="45">
        <f>(1+'Q2 Base'!I11)^-I$7</f>
        <v>0.89916479931764592</v>
      </c>
      <c r="J11" s="45">
        <f>(1+'Q2 Base'!J11)^-J$7</f>
        <v>0.87894427831540967</v>
      </c>
      <c r="K11" s="45">
        <f>(1+'Q2 Base'!K11)^-K$7</f>
        <v>0.85695614931141684</v>
      </c>
      <c r="L11" s="45">
        <f>(1+'Q2 Base'!L11)^-L$7</f>
        <v>0.81785924697317447</v>
      </c>
      <c r="M11" s="43"/>
      <c r="N11" s="46">
        <f t="shared" si="0"/>
        <v>0.81785924697317447</v>
      </c>
      <c r="O11" s="43"/>
      <c r="P11" s="47">
        <f t="shared" si="1"/>
        <v>2.0012359007326921E-2</v>
      </c>
      <c r="R11" s="24">
        <v>1</v>
      </c>
      <c r="S11" s="25" t="s">
        <v>69</v>
      </c>
    </row>
    <row r="12" spans="1:19" x14ac:dyDescent="0.2">
      <c r="B12" s="44" t="s">
        <v>46</v>
      </c>
      <c r="C12" s="45">
        <f>(1+'Q2 Base'!C12)^-C$7</f>
        <v>0.97996942495394146</v>
      </c>
      <c r="D12" s="45">
        <f>(1+'Q2 Base'!D12)^-D$7</f>
        <v>0.9607919631366415</v>
      </c>
      <c r="E12" s="45">
        <f>(1+'Q2 Base'!E12)^-E$7</f>
        <v>0.94348733906761395</v>
      </c>
      <c r="F12" s="45">
        <f>(1+'Q2 Base'!F12)^-F$7</f>
        <v>0.93277514557684504</v>
      </c>
      <c r="G12" s="45">
        <f>(1+'Q2 Base'!G12)^-G$7</f>
        <v>0.92725498280863083</v>
      </c>
      <c r="H12" s="45">
        <f>(1+'Q2 Base'!H12)^-H$7</f>
        <v>0.90969171218128664</v>
      </c>
      <c r="I12" s="45">
        <f>(1+'Q2 Base'!I12)^-I$7</f>
        <v>0.89928879517244553</v>
      </c>
      <c r="J12" s="45">
        <f>(1+'Q2 Base'!J12)^-J$7</f>
        <v>0.88074530430311293</v>
      </c>
      <c r="K12" s="45">
        <f>(1+'Q2 Base'!K12)^-K$7</f>
        <v>0.85779055946302885</v>
      </c>
      <c r="L12" s="45">
        <f>(1+'Q2 Base'!L12)^-L$7</f>
        <v>0.81930349045525797</v>
      </c>
      <c r="M12" s="43"/>
      <c r="N12" s="46">
        <f t="shared" si="0"/>
        <v>0.81930349045525797</v>
      </c>
      <c r="O12" s="43"/>
      <c r="P12" s="47">
        <f t="shared" si="1"/>
        <v>1.9832570709088258E-2</v>
      </c>
      <c r="R12" s="26">
        <v>1</v>
      </c>
      <c r="S12" s="27" t="s">
        <v>70</v>
      </c>
    </row>
    <row r="13" spans="1:19" x14ac:dyDescent="0.2">
      <c r="B13" s="44" t="s">
        <v>47</v>
      </c>
      <c r="C13" s="45">
        <f>(1+'Q2 Base'!C13)^-C$7</f>
        <v>0.97964301808421006</v>
      </c>
      <c r="D13" s="45">
        <f>(1+'Q2 Base'!D13)^-D$7</f>
        <v>0.96073545953429529</v>
      </c>
      <c r="E13" s="45">
        <f>(1+'Q2 Base'!E13)^-E$7</f>
        <v>0.94320978292814706</v>
      </c>
      <c r="F13" s="45">
        <f>(1+'Q2 Base'!F13)^-F$7</f>
        <v>0.93145628259908719</v>
      </c>
      <c r="G13" s="45">
        <f>(1+'Q2 Base'!G13)^-G$7</f>
        <v>0.9262965562213471</v>
      </c>
      <c r="H13" s="45">
        <f>(1+'Q2 Base'!H13)^-H$7</f>
        <v>0.90792072729206896</v>
      </c>
      <c r="I13" s="45">
        <f>(1+'Q2 Base'!I13)^-I$7</f>
        <v>0.8981116230825964</v>
      </c>
      <c r="J13" s="45">
        <f>(1+'Q2 Base'!J13)^-J$7</f>
        <v>0.87880590956030979</v>
      </c>
      <c r="K13" s="45">
        <f>(1+'Q2 Base'!K13)^-K$7</f>
        <v>0.85763878140534133</v>
      </c>
      <c r="L13" s="45">
        <f>(1+'Q2 Base'!L13)^-L$7</f>
        <v>0.81874150712228433</v>
      </c>
      <c r="M13" s="43"/>
      <c r="N13" s="46">
        <f t="shared" si="0"/>
        <v>0.81874150712228433</v>
      </c>
      <c r="O13" s="43"/>
      <c r="P13" s="47">
        <f t="shared" si="1"/>
        <v>1.9912914596602826E-2</v>
      </c>
      <c r="R13" s="15">
        <v>1</v>
      </c>
      <c r="S13" s="28" t="s">
        <v>71</v>
      </c>
    </row>
    <row r="14" spans="1:19" x14ac:dyDescent="0.2">
      <c r="B14" s="44" t="s">
        <v>48</v>
      </c>
      <c r="C14" s="45">
        <f>(1+'Q2 Base'!C14)^-C$7</f>
        <v>0.97976779503257727</v>
      </c>
      <c r="D14" s="45">
        <f>(1+'Q2 Base'!D14)^-D$7</f>
        <v>0.96101802740043518</v>
      </c>
      <c r="E14" s="45">
        <f>(1+'Q2 Base'!E14)^-E$7</f>
        <v>0.94354286336320747</v>
      </c>
      <c r="F14" s="45">
        <f>(1+'Q2 Base'!F14)^-F$7</f>
        <v>0.93185902106460694</v>
      </c>
      <c r="G14" s="45">
        <f>(1+'Q2 Base'!G14)^-G$7</f>
        <v>0.92497496831655701</v>
      </c>
      <c r="H14" s="45">
        <f>(1+'Q2 Base'!H14)^-H$7</f>
        <v>0.90717061578769032</v>
      </c>
      <c r="I14" s="45">
        <f>(1+'Q2 Base'!I14)^-I$7</f>
        <v>0.89619475249355995</v>
      </c>
      <c r="J14" s="45">
        <f>(1+'Q2 Base'!J14)^-J$7</f>
        <v>0.87728546953876974</v>
      </c>
      <c r="K14" s="45">
        <f>(1+'Q2 Base'!K14)^-K$7</f>
        <v>0.85574407127224594</v>
      </c>
      <c r="L14" s="45">
        <f>(1+'Q2 Base'!L14)^-L$7</f>
        <v>0.81737845498560946</v>
      </c>
      <c r="M14" s="43"/>
      <c r="N14" s="46">
        <f t="shared" si="0"/>
        <v>0.81737845498560946</v>
      </c>
      <c r="O14" s="43"/>
      <c r="P14" s="47">
        <f t="shared" si="1"/>
        <v>2.0079475460428254E-2</v>
      </c>
      <c r="R14" s="15">
        <v>1</v>
      </c>
      <c r="S14" s="28" t="s">
        <v>72</v>
      </c>
    </row>
    <row r="15" spans="1:19" x14ac:dyDescent="0.2">
      <c r="B15" s="44" t="s">
        <v>49</v>
      </c>
      <c r="C15" s="45">
        <f>(1+'Q2 Base'!C15)^-C$7</f>
        <v>0.98057481295535431</v>
      </c>
      <c r="D15" s="45">
        <f>(1+'Q2 Base'!D15)^-D$7</f>
        <v>0.96180988095752584</v>
      </c>
      <c r="E15" s="45">
        <f>(1+'Q2 Base'!E15)^-E$7</f>
        <v>0.94393165544941471</v>
      </c>
      <c r="F15" s="45">
        <f>(1+'Q2 Base'!F15)^-F$7</f>
        <v>0.93270181419751086</v>
      </c>
      <c r="G15" s="45">
        <f>(1+'Q2 Base'!G15)^-G$7</f>
        <v>0.92848899474615765</v>
      </c>
      <c r="H15" s="45">
        <f>(1+'Q2 Base'!H15)^-H$7</f>
        <v>0.9100678935753862</v>
      </c>
      <c r="I15" s="45">
        <f>(1+'Q2 Base'!I15)^-I$7</f>
        <v>0.90115108001134536</v>
      </c>
      <c r="J15" s="45">
        <f>(1+'Q2 Base'!J15)^-J$7</f>
        <v>0.88324589067261028</v>
      </c>
      <c r="K15" s="45">
        <f>(1+'Q2 Base'!K15)^-K$7</f>
        <v>0.8629688138604944</v>
      </c>
      <c r="L15" s="45">
        <f>(1+'Q2 Base'!L15)^-L$7</f>
        <v>0.82664801704544011</v>
      </c>
      <c r="M15" s="43"/>
      <c r="N15" s="46">
        <f t="shared" si="0"/>
        <v>0.82664801704544011</v>
      </c>
      <c r="O15" s="43"/>
      <c r="P15" s="47">
        <f t="shared" si="1"/>
        <v>1.8983770046618196E-2</v>
      </c>
      <c r="R15" s="15">
        <v>1</v>
      </c>
      <c r="S15" s="28" t="s">
        <v>73</v>
      </c>
    </row>
    <row r="16" spans="1:19" x14ac:dyDescent="0.2">
      <c r="B16" s="44" t="s">
        <v>50</v>
      </c>
      <c r="C16" s="45">
        <f>(1+'Q2 Base'!C16)^-C$7</f>
        <v>0.98068059233107774</v>
      </c>
      <c r="D16" s="45">
        <f>(1+'Q2 Base'!D16)^-D$7</f>
        <v>0.96277273386892404</v>
      </c>
      <c r="E16" s="45">
        <f>(1+'Q2 Base'!E16)^-E$7</f>
        <v>0.94326528544566413</v>
      </c>
      <c r="F16" s="45">
        <f>(1+'Q2 Base'!F16)^-F$7</f>
        <v>0.92864319685186913</v>
      </c>
      <c r="G16" s="45">
        <f>(1+'Q2 Base'!G16)^-G$7</f>
        <v>0.92935855495352071</v>
      </c>
      <c r="H16" s="45">
        <f>(1+'Q2 Base'!H16)^-H$7</f>
        <v>0.90572601298973221</v>
      </c>
      <c r="I16" s="45">
        <f>(1+'Q2 Base'!I16)^-I$7</f>
        <v>0.89625651400009609</v>
      </c>
      <c r="J16" s="45">
        <f>(1+'Q2 Base'!J16)^-J$7</f>
        <v>0.87929030744517045</v>
      </c>
      <c r="K16" s="45">
        <f>(1+'Q2 Base'!K16)^-K$7</f>
        <v>0.86007081541250052</v>
      </c>
      <c r="L16" s="45">
        <f>(1+'Q2 Base'!L16)^-L$7</f>
        <v>0.82502764744619361</v>
      </c>
      <c r="M16" s="43"/>
      <c r="N16" s="46">
        <f t="shared" si="0"/>
        <v>0.82502764744619361</v>
      </c>
      <c r="O16" s="43"/>
      <c r="P16" s="47">
        <f t="shared" si="1"/>
        <v>1.92043235946881E-2</v>
      </c>
      <c r="R16" s="9">
        <f>SUM(R9:R15)</f>
        <v>7</v>
      </c>
      <c r="S16" s="9" t="s">
        <v>36</v>
      </c>
    </row>
    <row r="17" spans="2:16" x14ac:dyDescent="0.2">
      <c r="B17" s="44" t="s">
        <v>51</v>
      </c>
      <c r="C17" s="45">
        <f>(1+'Q2 Base'!C17)^-C$7</f>
        <v>0.98087297694948494</v>
      </c>
      <c r="D17" s="45">
        <f>(1+'Q2 Base'!D17)^-D$7</f>
        <v>0.96362351117638023</v>
      </c>
      <c r="E17" s="45">
        <f>(1+'Q2 Base'!E17)^-E$7</f>
        <v>0.9444596435864262</v>
      </c>
      <c r="F17" s="45">
        <f>(1+'Q2 Base'!F17)^-F$7</f>
        <v>0.93138308080081267</v>
      </c>
      <c r="G17" s="45">
        <f>(1+'Q2 Base'!G17)^-G$7</f>
        <v>0.92757472275296304</v>
      </c>
      <c r="H17" s="45">
        <f>(1+'Q2 Base'!H17)^-H$7</f>
        <v>0.90979917406500688</v>
      </c>
      <c r="I17" s="45">
        <f>(1+'Q2 Base'!I17)^-I$7</f>
        <v>0.90021938723342165</v>
      </c>
      <c r="J17" s="45">
        <f>(1+'Q2 Base'!J17)^-J$7</f>
        <v>0.88394191474353045</v>
      </c>
      <c r="K17" s="45">
        <f>(1+'Q2 Base'!K17)^-K$7</f>
        <v>0.86741301567438256</v>
      </c>
      <c r="L17" s="45">
        <f>(1+'Q2 Base'!L17)^-L$7</f>
        <v>0.83259214150815897</v>
      </c>
      <c r="M17" s="43"/>
      <c r="N17" s="46">
        <f t="shared" si="0"/>
        <v>0.83259214150815897</v>
      </c>
      <c r="O17" s="43"/>
      <c r="P17" s="47">
        <f t="shared" si="1"/>
        <v>1.8312192502387348E-2</v>
      </c>
    </row>
    <row r="18" spans="2:16" x14ac:dyDescent="0.2">
      <c r="B18" s="44" t="s">
        <v>52</v>
      </c>
      <c r="C18" s="45">
        <f>(1+'Q2 Base'!C18)^-C$7</f>
        <v>0.97904836498923042</v>
      </c>
      <c r="D18" s="45">
        <f>(1+'Q2 Base'!D18)^-D$7</f>
        <v>0.95975685519830389</v>
      </c>
      <c r="E18" s="45">
        <f>(1+'Q2 Base'!E18)^-E$7</f>
        <v>0.94107624287621361</v>
      </c>
      <c r="F18" s="45">
        <f>(1+'Q2 Base'!F18)^-F$7</f>
        <v>0.92805999275830797</v>
      </c>
      <c r="G18" s="45">
        <f>(1+'Q2 Base'!G18)^-G$7</f>
        <v>0.92052562414403694</v>
      </c>
      <c r="H18" s="45">
        <f>(1+'Q2 Base'!H18)^-H$7</f>
        <v>0.90215283578694949</v>
      </c>
      <c r="I18" s="45">
        <f>(1+'Q2 Base'!I18)^-I$7</f>
        <v>0.8924364820923778</v>
      </c>
      <c r="J18" s="45">
        <f>(1+'Q2 Base'!J18)^-J$7</f>
        <v>0.87205576518990102</v>
      </c>
      <c r="K18" s="45">
        <f>(1+'Q2 Base'!K18)^-K$7</f>
        <v>0.84380201882735939</v>
      </c>
      <c r="L18" s="45">
        <f>(1+'Q2 Base'!L18)^-L$7</f>
        <v>0.80301971377664427</v>
      </c>
      <c r="M18" s="43"/>
      <c r="N18" s="46">
        <f t="shared" si="0"/>
        <v>0.80301971377664427</v>
      </c>
      <c r="O18" s="43"/>
      <c r="P18" s="47">
        <f t="shared" si="1"/>
        <v>2.1785194240178409E-2</v>
      </c>
    </row>
    <row r="19" spans="2:16" x14ac:dyDescent="0.2">
      <c r="B19" s="44" t="s">
        <v>53</v>
      </c>
      <c r="C19" s="45">
        <f>(1+'Q2 Base'!C19)^-C$7</f>
        <v>0.97916340278865743</v>
      </c>
      <c r="D19" s="45">
        <f>(1+'Q2 Base'!D19)^-D$7</f>
        <v>0.95986969475557504</v>
      </c>
      <c r="E19" s="45">
        <f>(1+'Q2 Base'!E19)^-E$7</f>
        <v>0.94151904584169333</v>
      </c>
      <c r="F19" s="45">
        <f>(1+'Q2 Base'!F19)^-F$7</f>
        <v>0.92929984915598929</v>
      </c>
      <c r="G19" s="45">
        <f>(1+'Q2 Base'!G19)^-G$7</f>
        <v>0.92011829991188121</v>
      </c>
      <c r="H19" s="45">
        <f>(1+'Q2 Base'!H19)^-H$7</f>
        <v>0.9025786180680665</v>
      </c>
      <c r="I19" s="45">
        <f>(1+'Q2 Base'!I19)^-I$7</f>
        <v>0.89090141346959817</v>
      </c>
      <c r="J19" s="45">
        <f>(1+'Q2 Base'!J19)^-J$7</f>
        <v>0.87027471458229566</v>
      </c>
      <c r="K19" s="45">
        <f>(1+'Q2 Base'!K19)^-K$7</f>
        <v>0.84671396670663746</v>
      </c>
      <c r="L19" s="45">
        <f>(1+'Q2 Base'!L19)^-L$7</f>
        <v>0.8075904180294472</v>
      </c>
      <c r="M19" s="43"/>
      <c r="N19" s="46">
        <f t="shared" si="0"/>
        <v>0.8075904180294472</v>
      </c>
      <c r="O19" s="43"/>
      <c r="P19" s="47">
        <f t="shared" si="1"/>
        <v>2.1265357678309563E-2</v>
      </c>
    </row>
    <row r="20" spans="2:16" x14ac:dyDescent="0.2">
      <c r="B20" s="44" t="s">
        <v>54</v>
      </c>
      <c r="C20" s="45">
        <f>(1+'Q2 Base'!C20)^-C$7</f>
        <v>0.97954705744063941</v>
      </c>
      <c r="D20" s="45">
        <f>(1+'Q2 Base'!D20)^-D$7</f>
        <v>0.96017069754888629</v>
      </c>
      <c r="E20" s="45">
        <f>(1+'Q2 Base'!E20)^-E$7</f>
        <v>0.94257181683706281</v>
      </c>
      <c r="F20" s="45">
        <f>(1+'Q2 Base'!F20)^-F$7</f>
        <v>0.93156609878126917</v>
      </c>
      <c r="G20" s="45">
        <f>(1+'Q2 Base'!G20)^-G$7</f>
        <v>0.92584058045108353</v>
      </c>
      <c r="H20" s="45">
        <f>(1+'Q2 Base'!H20)^-H$7</f>
        <v>0.90931571218736218</v>
      </c>
      <c r="I20" s="45">
        <f>(1+'Q2 Base'!I20)^-I$7</f>
        <v>0.89749276622908014</v>
      </c>
      <c r="J20" s="45">
        <f>(1+'Q2 Base'!J20)^-J$7</f>
        <v>0.87859840237345244</v>
      </c>
      <c r="K20" s="45">
        <f>(1+'Q2 Base'!K20)^-K$7</f>
        <v>0.85544134947667083</v>
      </c>
      <c r="L20" s="45">
        <f>(1+'Q2 Base'!L20)^-L$7</f>
        <v>0.81450022402506661</v>
      </c>
      <c r="M20" s="43"/>
      <c r="N20" s="46">
        <f t="shared" si="0"/>
        <v>0.81450022402506661</v>
      </c>
      <c r="O20" s="43"/>
      <c r="P20" s="47">
        <f t="shared" si="1"/>
        <v>2.0395696995948214E-2</v>
      </c>
    </row>
    <row r="21" spans="2:16" x14ac:dyDescent="0.2">
      <c r="B21" s="44" t="s">
        <v>55</v>
      </c>
      <c r="C21" s="45">
        <f>(1+'Q2 Base'!C21)^-C$7</f>
        <v>0.980171137880674</v>
      </c>
      <c r="D21" s="45">
        <f>(1+'Q2 Base'!D21)^-D$7</f>
        <v>0.96105571253458777</v>
      </c>
      <c r="E21" s="45">
        <f>(1+'Q2 Base'!E21)^-E$7</f>
        <v>0.94512713896628486</v>
      </c>
      <c r="F21" s="45">
        <f>(1+'Q2 Base'!F21)^-F$7</f>
        <v>0.93398615448301869</v>
      </c>
      <c r="G21" s="45">
        <f>(1+'Q2 Base'!G21)^-G$7</f>
        <v>0.93169747416813342</v>
      </c>
      <c r="H21" s="45">
        <f>(1+'Q2 Base'!H21)^-H$7</f>
        <v>0.91448813277457608</v>
      </c>
      <c r="I21" s="45">
        <f>(1+'Q2 Base'!I21)^-I$7</f>
        <v>0.90090252089552292</v>
      </c>
      <c r="J21" s="45">
        <f>(1+'Q2 Base'!J21)^-J$7</f>
        <v>0.88813103977036278</v>
      </c>
      <c r="K21" s="45">
        <f>(1+'Q2 Base'!K21)^-K$7</f>
        <v>0.8702613933002834</v>
      </c>
      <c r="L21" s="45">
        <f>(1+'Q2 Base'!L21)^-L$7</f>
        <v>0.8332464057184491</v>
      </c>
      <c r="M21" s="43"/>
      <c r="N21" s="46">
        <f t="shared" si="0"/>
        <v>0.8332464057184491</v>
      </c>
      <c r="O21" s="43"/>
      <c r="P21" s="47">
        <f t="shared" si="1"/>
        <v>1.820639506948599E-2</v>
      </c>
    </row>
    <row r="22" spans="2:16" x14ac:dyDescent="0.2">
      <c r="B22" s="44" t="s">
        <v>56</v>
      </c>
      <c r="C22" s="45">
        <f>(1+'Q2 Base'!C22)^-C$7</f>
        <v>0.98013270996892976</v>
      </c>
      <c r="D22" s="45">
        <f>(1+'Q2 Base'!D22)^-D$7</f>
        <v>0.96165897627149899</v>
      </c>
      <c r="E22" s="45">
        <f>(1+'Q2 Base'!E22)^-E$7</f>
        <v>0.94484893947465931</v>
      </c>
      <c r="F22" s="45">
        <f>(1+'Q2 Base'!F22)^-F$7</f>
        <v>0.93196889660309323</v>
      </c>
      <c r="G22" s="45">
        <f>(1+'Q2 Base'!G22)^-G$7</f>
        <v>0.92963335591996721</v>
      </c>
      <c r="H22" s="45">
        <f>(1+'Q2 Base'!H22)^-H$7</f>
        <v>0.91087460786527841</v>
      </c>
      <c r="I22" s="45">
        <f>(1+'Q2 Base'!I22)^-I$7</f>
        <v>0.90726532966604401</v>
      </c>
      <c r="J22" s="45">
        <f>(1+'Q2 Base'!J22)^-J$7</f>
        <v>0.89030416863805695</v>
      </c>
      <c r="K22" s="45">
        <f>(1+'Q2 Base'!K22)^-K$7</f>
        <v>0.86702889489779511</v>
      </c>
      <c r="L22" s="45">
        <f>(1+'Q2 Base'!L22)^-L$7</f>
        <v>0.83030666309574674</v>
      </c>
      <c r="M22" s="43"/>
      <c r="N22" s="46">
        <f t="shared" si="0"/>
        <v>0.83030666309574674</v>
      </c>
      <c r="O22" s="43"/>
      <c r="P22" s="47">
        <f t="shared" si="1"/>
        <v>1.8537570354261249E-2</v>
      </c>
    </row>
    <row r="23" spans="2:16" x14ac:dyDescent="0.2">
      <c r="B23" s="44" t="s">
        <v>57</v>
      </c>
      <c r="C23" s="45">
        <f>(1+'Q2 Base'!C23)^-C$7</f>
        <v>0.98009428507022367</v>
      </c>
      <c r="D23" s="45">
        <f>(1+'Q2 Base'!D23)^-D$7</f>
        <v>0.96084847172384202</v>
      </c>
      <c r="E23" s="45">
        <f>(1+'Q2 Base'!E23)^-E$7</f>
        <v>0.94473769024968135</v>
      </c>
      <c r="F23" s="45">
        <f>(1+'Q2 Base'!F23)^-F$7</f>
        <v>0.93123669877607773</v>
      </c>
      <c r="G23" s="45">
        <f>(1+'Q2 Base'!G23)^-G$7</f>
        <v>0.92803172364213149</v>
      </c>
      <c r="H23" s="45">
        <f>(1+'Q2 Base'!H23)^-H$7</f>
        <v>0.90834968732082988</v>
      </c>
      <c r="I23" s="45">
        <f>(1+'Q2 Base'!I23)^-I$7</f>
        <v>0.9048264458118761</v>
      </c>
      <c r="J23" s="45">
        <f>(1+'Q2 Base'!J23)^-J$7</f>
        <v>0.88813103977036278</v>
      </c>
      <c r="K23" s="45">
        <f>(1+'Q2 Base'!K23)^-K$7</f>
        <v>0.8646515604527476</v>
      </c>
      <c r="L23" s="45">
        <f>(1+'Q2 Base'!L23)^-L$7</f>
        <v>0.82843446800127285</v>
      </c>
      <c r="M23" s="43"/>
      <c r="N23" s="46">
        <f t="shared" si="0"/>
        <v>0.82843446800127285</v>
      </c>
      <c r="O23" s="43"/>
      <c r="P23" s="47">
        <f t="shared" si="1"/>
        <v>1.8772197240162151E-2</v>
      </c>
    </row>
    <row r="24" spans="2:16" x14ac:dyDescent="0.2">
      <c r="B24" s="44" t="s">
        <v>58</v>
      </c>
      <c r="C24" s="45">
        <f>(1+'Q2 Base'!C24)^-C$7</f>
        <v>0.98003665337083612</v>
      </c>
      <c r="D24" s="45">
        <f>(1+'Q2 Base'!D24)^-D$7</f>
        <v>0.96141383189189134</v>
      </c>
      <c r="E24" s="45">
        <f>(1+'Q2 Base'!E24)^-E$7</f>
        <v>0.9459345353650539</v>
      </c>
      <c r="F24" s="45">
        <f>(1+'Q2 Base'!F24)^-F$7</f>
        <v>0.93339875337023426</v>
      </c>
      <c r="G24" s="45">
        <f>(1+'Q2 Base'!G24)^-G$7</f>
        <v>0.93257064177358839</v>
      </c>
      <c r="H24" s="45">
        <f>(1+'Q2 Base'!H24)^-H$7</f>
        <v>0.91394774033826121</v>
      </c>
      <c r="I24" s="45">
        <f>(1+'Q2 Base'!I24)^-I$7</f>
        <v>0.90670184417796762</v>
      </c>
      <c r="J24" s="45">
        <f>(1+'Q2 Base'!J24)^-J$7</f>
        <v>0.89156873018825222</v>
      </c>
      <c r="K24" s="45">
        <f>(1+'Q2 Base'!K24)^-K$7</f>
        <v>0.8725785189069869</v>
      </c>
      <c r="L24" s="45">
        <f>(1+'Q2 Base'!L24)^-L$7</f>
        <v>0.83480255097186606</v>
      </c>
      <c r="M24" s="43"/>
      <c r="N24" s="46">
        <f t="shared" si="0"/>
        <v>0.83480255097186606</v>
      </c>
      <c r="O24" s="43"/>
      <c r="P24" s="47">
        <f t="shared" si="1"/>
        <v>1.8009187947915076E-2</v>
      </c>
    </row>
    <row r="25" spans="2:16" x14ac:dyDescent="0.2">
      <c r="B25" s="44" t="s">
        <v>59</v>
      </c>
      <c r="C25" s="45">
        <f>(1+'Q2 Base'!C25)^-C$7</f>
        <v>0.97995021852889885</v>
      </c>
      <c r="D25" s="45">
        <f>(1+'Q2 Base'!D25)^-D$7</f>
        <v>0.96118762796183377</v>
      </c>
      <c r="E25" s="45">
        <f>(1+'Q2 Base'!E25)^-E$7</f>
        <v>0.94509931410277337</v>
      </c>
      <c r="F25" s="45">
        <f>(1+'Q2 Base'!F25)^-F$7</f>
        <v>0.93277514557684504</v>
      </c>
      <c r="G25" s="45">
        <f>(1+'Q2 Base'!G25)^-G$7</f>
        <v>0.93381314874395582</v>
      </c>
      <c r="H25" s="45">
        <f>(1+'Q2 Base'!H25)^-H$7</f>
        <v>0.91211319071605312</v>
      </c>
      <c r="I25" s="45">
        <f>(1+'Q2 Base'!I25)^-I$7</f>
        <v>0.90876991528154649</v>
      </c>
      <c r="J25" s="45">
        <f>(1+'Q2 Base'!J25)^-J$7</f>
        <v>0.89318750040610773</v>
      </c>
      <c r="K25" s="45">
        <f>(1+'Q2 Base'!K25)^-K$7</f>
        <v>0.87490250153346161</v>
      </c>
      <c r="L25" s="45">
        <f>(1+'Q2 Base'!L25)^-L$7</f>
        <v>0.83267389362202315</v>
      </c>
      <c r="M25" s="43"/>
      <c r="N25" s="46">
        <f t="shared" si="0"/>
        <v>0.83267389362202315</v>
      </c>
      <c r="O25" s="43"/>
      <c r="P25" s="47">
        <f t="shared" si="1"/>
        <v>1.8238226467169969E-2</v>
      </c>
    </row>
    <row r="26" spans="2:16" x14ac:dyDescent="0.2">
      <c r="B26" s="44" t="s">
        <v>60</v>
      </c>
      <c r="C26" s="45">
        <f>(1+'Q2 Base'!C26)^-C$7</f>
        <v>0.98001744431050886</v>
      </c>
      <c r="D26" s="45">
        <f>(1+'Q2 Base'!D26)^-D$7</f>
        <v>0.96118762796183377</v>
      </c>
      <c r="E26" s="45">
        <f>(1+'Q2 Base'!E26)^-E$7</f>
        <v>0.9438483248799665</v>
      </c>
      <c r="F26" s="45">
        <f>(1+'Q2 Base'!F26)^-F$7</f>
        <v>0.93215205849035132</v>
      </c>
      <c r="G26" s="45">
        <f>(1+'Q2 Base'!G26)^-G$7</f>
        <v>0.93284658290130784</v>
      </c>
      <c r="H26" s="45">
        <f>(1+'Q2 Base'!H26)^-H$7</f>
        <v>0.9128141284100626</v>
      </c>
      <c r="I26" s="45">
        <f>(1+'Q2 Base'!I26)^-I$7</f>
        <v>0.90670184417796762</v>
      </c>
      <c r="J26" s="45">
        <f>(1+'Q2 Base'!J26)^-J$7</f>
        <v>0.8905147886997552</v>
      </c>
      <c r="K26" s="45">
        <f>(1+'Q2 Base'!K26)^-K$7</f>
        <v>0.87622247725281932</v>
      </c>
      <c r="L26" s="45">
        <f>(1+'Q2 Base'!L26)^-L$7</f>
        <v>0.83866571546858582</v>
      </c>
      <c r="M26" s="43"/>
      <c r="N26" s="46">
        <f t="shared" si="0"/>
        <v>0.83866571546858582</v>
      </c>
      <c r="O26" s="43"/>
      <c r="P26" s="47">
        <f t="shared" si="1"/>
        <v>1.7584173798735791E-2</v>
      </c>
    </row>
    <row r="27" spans="2:16" x14ac:dyDescent="0.2">
      <c r="B27" s="44" t="s">
        <v>61</v>
      </c>
      <c r="C27" s="45">
        <f>(1+'Q2 Base'!C27)^-C$7</f>
        <v>0.97997902844879126</v>
      </c>
      <c r="D27" s="45">
        <f>(1+'Q2 Base'!D27)^-D$7</f>
        <v>0.96133842171028883</v>
      </c>
      <c r="E27" s="45">
        <f>(1+'Q2 Base'!E27)^-E$7</f>
        <v>0.94515496492207085</v>
      </c>
      <c r="F27" s="45">
        <f>(1+'Q2 Base'!F27)^-F$7</f>
        <v>0.9331785970113704</v>
      </c>
      <c r="G27" s="45">
        <f>(1+'Q2 Base'!G27)^-G$7</f>
        <v>0.93303059808653699</v>
      </c>
      <c r="H27" s="45">
        <f>(1+'Q2 Base'!H27)^-H$7</f>
        <v>0.91416385259447352</v>
      </c>
      <c r="I27" s="45">
        <f>(1+'Q2 Base'!I27)^-I$7</f>
        <v>0.9077665416579539</v>
      </c>
      <c r="J27" s="45">
        <f>(1+'Q2 Base'!J27)^-J$7</f>
        <v>0.89100645353676389</v>
      </c>
      <c r="K27" s="45">
        <f>(1+'Q2 Base'!K27)^-K$7</f>
        <v>0.8744371553760002</v>
      </c>
      <c r="L27" s="45">
        <f>(1+'Q2 Base'!L27)^-L$7</f>
        <v>0.83973771916879414</v>
      </c>
      <c r="M27" s="43"/>
      <c r="N27" s="46">
        <f t="shared" si="0"/>
        <v>0.83973771916879414</v>
      </c>
      <c r="O27" s="43"/>
      <c r="P27" s="47">
        <f t="shared" si="1"/>
        <v>1.74581578284108E-2</v>
      </c>
    </row>
    <row r="28" spans="2:16" x14ac:dyDescent="0.2">
      <c r="M28" s="43"/>
      <c r="O28" s="43"/>
    </row>
    <row r="29" spans="2:16" x14ac:dyDescent="0.2">
      <c r="M29" s="43"/>
      <c r="N29" s="48"/>
    </row>
    <row r="30" spans="2:16" x14ac:dyDescent="0.2">
      <c r="M30" s="43"/>
      <c r="N30" s="48"/>
    </row>
    <row r="31" spans="2:16" x14ac:dyDescent="0.2">
      <c r="M31" s="43"/>
      <c r="N31" s="48"/>
    </row>
    <row r="32" spans="2:16" x14ac:dyDescent="0.2">
      <c r="M32" s="43"/>
      <c r="N32" s="48"/>
    </row>
    <row r="33" spans="13:14" x14ac:dyDescent="0.2">
      <c r="M33" s="43"/>
      <c r="N33" s="48"/>
    </row>
    <row r="34" spans="13:14" x14ac:dyDescent="0.2">
      <c r="M34" s="43"/>
      <c r="N34" s="48"/>
    </row>
    <row r="35" spans="13:14" x14ac:dyDescent="0.2">
      <c r="M35" s="43"/>
      <c r="N35" s="48"/>
    </row>
    <row r="36" spans="13:14" x14ac:dyDescent="0.2">
      <c r="M36" s="43"/>
      <c r="N36" s="48"/>
    </row>
    <row r="37" spans="13:14" x14ac:dyDescent="0.2">
      <c r="M37" s="43"/>
      <c r="N37" s="48"/>
    </row>
    <row r="38" spans="13:14" x14ac:dyDescent="0.2">
      <c r="M38" s="43"/>
      <c r="N38" s="48"/>
    </row>
    <row r="39" spans="13:14" x14ac:dyDescent="0.2">
      <c r="M39" s="43"/>
      <c r="N39" s="48"/>
    </row>
    <row r="40" spans="13:14" x14ac:dyDescent="0.2">
      <c r="M40" s="43"/>
      <c r="N40" s="48"/>
    </row>
    <row r="41" spans="13:14" x14ac:dyDescent="0.2">
      <c r="M41" s="43"/>
      <c r="N41" s="48"/>
    </row>
    <row r="42" spans="13:14" x14ac:dyDescent="0.2">
      <c r="M42" s="43"/>
      <c r="N42" s="48"/>
    </row>
    <row r="43" spans="13:14" x14ac:dyDescent="0.2">
      <c r="M43" s="43"/>
      <c r="N43" s="48"/>
    </row>
    <row r="44" spans="13:14" x14ac:dyDescent="0.2">
      <c r="M44" s="43"/>
    </row>
    <row r="45" spans="13:14" x14ac:dyDescent="0.2">
      <c r="M45" s="43"/>
    </row>
    <row r="46" spans="13:14" x14ac:dyDescent="0.2">
      <c r="M46" s="43"/>
    </row>
    <row r="47" spans="13:14" x14ac:dyDescent="0.2">
      <c r="M47" s="43"/>
    </row>
    <row r="48" spans="13:14" x14ac:dyDescent="0.2">
      <c r="M48" s="43"/>
    </row>
    <row r="49" spans="13:13" x14ac:dyDescent="0.2">
      <c r="M49" s="43"/>
    </row>
    <row r="50" spans="13:13" x14ac:dyDescent="0.2">
      <c r="M50" s="43"/>
    </row>
    <row r="51" spans="13:13" x14ac:dyDescent="0.2">
      <c r="M51" s="43"/>
    </row>
    <row r="52" spans="13:13" x14ac:dyDescent="0.2">
      <c r="M52" s="43"/>
    </row>
    <row r="53" spans="13:13" x14ac:dyDescent="0.2">
      <c r="M53" s="43"/>
    </row>
    <row r="54" spans="13:13" x14ac:dyDescent="0.2">
      <c r="M54" s="43"/>
    </row>
    <row r="55" spans="13:13" x14ac:dyDescent="0.2">
      <c r="M55" s="43"/>
    </row>
    <row r="56" spans="13:13" x14ac:dyDescent="0.2">
      <c r="M56" s="43"/>
    </row>
    <row r="57" spans="13:13" x14ac:dyDescent="0.2">
      <c r="M57" s="43"/>
    </row>
    <row r="58" spans="13:13" x14ac:dyDescent="0.2">
      <c r="M58" s="43"/>
    </row>
    <row r="59" spans="13:13" x14ac:dyDescent="0.2">
      <c r="M59" s="43"/>
    </row>
    <row r="60" spans="13:13" x14ac:dyDescent="0.2">
      <c r="M60" s="43"/>
    </row>
    <row r="61" spans="13:13" x14ac:dyDescent="0.2">
      <c r="M61" s="43"/>
    </row>
    <row r="62" spans="13:13" x14ac:dyDescent="0.2">
      <c r="M62" s="43"/>
    </row>
    <row r="63" spans="13:13" x14ac:dyDescent="0.2">
      <c r="M63" s="43"/>
    </row>
    <row r="64" spans="13:13" x14ac:dyDescent="0.2">
      <c r="M64" s="43"/>
    </row>
    <row r="65" spans="13:13" x14ac:dyDescent="0.2">
      <c r="M65" s="43"/>
    </row>
    <row r="66" spans="13:13" x14ac:dyDescent="0.2">
      <c r="M66" s="43"/>
    </row>
    <row r="67" spans="13:13" x14ac:dyDescent="0.2">
      <c r="M67" s="43"/>
    </row>
    <row r="68" spans="13:13" x14ac:dyDescent="0.2">
      <c r="M68" s="43"/>
    </row>
    <row r="69" spans="13:13" x14ac:dyDescent="0.2">
      <c r="M69" s="43"/>
    </row>
    <row r="70" spans="13:13" x14ac:dyDescent="0.2">
      <c r="M70" s="43"/>
    </row>
    <row r="71" spans="13:13" x14ac:dyDescent="0.2">
      <c r="M71" s="43"/>
    </row>
    <row r="72" spans="13:13" x14ac:dyDescent="0.2">
      <c r="M72" s="43"/>
    </row>
    <row r="73" spans="13:13" x14ac:dyDescent="0.2">
      <c r="M73" s="43"/>
    </row>
    <row r="74" spans="13:13" x14ac:dyDescent="0.2">
      <c r="M74" s="43"/>
    </row>
    <row r="75" spans="13:13" x14ac:dyDescent="0.2">
      <c r="M75" s="43"/>
    </row>
    <row r="76" spans="13:13" x14ac:dyDescent="0.2">
      <c r="M76" s="43"/>
    </row>
    <row r="77" spans="13:13" x14ac:dyDescent="0.2">
      <c r="M77" s="43"/>
    </row>
    <row r="78" spans="13:13" x14ac:dyDescent="0.2">
      <c r="M78" s="43"/>
    </row>
    <row r="79" spans="13:13" x14ac:dyDescent="0.2">
      <c r="M79" s="43"/>
    </row>
    <row r="80" spans="13:13" x14ac:dyDescent="0.2">
      <c r="M80" s="43"/>
    </row>
    <row r="81" spans="13:13" x14ac:dyDescent="0.2">
      <c r="M81" s="43"/>
    </row>
    <row r="82" spans="13:13" x14ac:dyDescent="0.2">
      <c r="M82" s="43"/>
    </row>
    <row r="83" spans="13:13" x14ac:dyDescent="0.2">
      <c r="M83" s="43"/>
    </row>
    <row r="84" spans="13:13" x14ac:dyDescent="0.2">
      <c r="M84" s="43"/>
    </row>
    <row r="85" spans="13:13" x14ac:dyDescent="0.2">
      <c r="M85" s="43"/>
    </row>
    <row r="86" spans="13:13" x14ac:dyDescent="0.2">
      <c r="M86" s="43"/>
    </row>
    <row r="87" spans="13:13" x14ac:dyDescent="0.2">
      <c r="M87" s="43"/>
    </row>
    <row r="88" spans="13:13" x14ac:dyDescent="0.2">
      <c r="M88" s="43"/>
    </row>
  </sheetData>
  <mergeCells count="6">
    <mergeCell ref="C4:L4"/>
    <mergeCell ref="C5:L5"/>
    <mergeCell ref="P6:P7"/>
    <mergeCell ref="B6:B7"/>
    <mergeCell ref="N6:N7"/>
    <mergeCell ref="C6:L6"/>
  </mergeCells>
  <printOptions gridLines="1"/>
  <pageMargins left="0.7" right="0.7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B4" workbookViewId="0">
      <selection activeCell="H30" sqref="H30"/>
    </sheetView>
  </sheetViews>
  <sheetFormatPr defaultRowHeight="12.75" x14ac:dyDescent="0.2"/>
  <cols>
    <col min="1" max="1" width="3.85546875" style="7" customWidth="1"/>
    <col min="2" max="2" width="6.28515625" style="7" customWidth="1"/>
    <col min="3" max="3" width="12.5703125" style="7" customWidth="1"/>
    <col min="4" max="4" width="10.7109375" style="7" customWidth="1"/>
    <col min="5" max="5" width="11.28515625" style="7" customWidth="1"/>
    <col min="6" max="6" width="11.140625" style="7" customWidth="1"/>
    <col min="7" max="7" width="9.140625" style="7"/>
    <col min="8" max="8" width="3.85546875" style="7" customWidth="1"/>
    <col min="9" max="9" width="44.140625" style="7" bestFit="1" customWidth="1"/>
    <col min="10" max="16384" width="9.140625" style="7"/>
  </cols>
  <sheetData>
    <row r="1" spans="1:9" s="1" customFormat="1" ht="14.25" x14ac:dyDescent="0.2"/>
    <row r="2" spans="1:9" s="2" customFormat="1" ht="25.5" x14ac:dyDescent="0.35">
      <c r="A2" s="3" t="s">
        <v>74</v>
      </c>
    </row>
    <row r="3" spans="1:9" s="1" customFormat="1" ht="14.25" x14ac:dyDescent="0.2"/>
    <row r="4" spans="1:9" x14ac:dyDescent="0.2">
      <c r="C4" s="4" t="s">
        <v>8</v>
      </c>
    </row>
    <row r="5" spans="1:9" x14ac:dyDescent="0.2">
      <c r="B5" s="7" t="s">
        <v>9</v>
      </c>
      <c r="C5" s="152" t="s">
        <v>75</v>
      </c>
    </row>
    <row r="6" spans="1:9" x14ac:dyDescent="0.2">
      <c r="B6" s="7" t="s">
        <v>11</v>
      </c>
      <c r="C6" s="156" t="s">
        <v>76</v>
      </c>
    </row>
    <row r="8" spans="1:9" x14ac:dyDescent="0.2">
      <c r="C8" s="112" t="s">
        <v>63</v>
      </c>
      <c r="D8" s="114" t="s">
        <v>10</v>
      </c>
      <c r="E8" s="112" t="s">
        <v>63</v>
      </c>
      <c r="F8" s="114" t="s">
        <v>10</v>
      </c>
    </row>
    <row r="9" spans="1:9" x14ac:dyDescent="0.2">
      <c r="C9" s="245" t="s">
        <v>9</v>
      </c>
      <c r="D9" s="245"/>
      <c r="E9" s="245" t="s">
        <v>11</v>
      </c>
      <c r="F9" s="245"/>
    </row>
    <row r="10" spans="1:9" ht="15" customHeight="1" x14ac:dyDescent="0.2">
      <c r="B10" s="246" t="s">
        <v>40</v>
      </c>
      <c r="C10" s="243" t="s">
        <v>77</v>
      </c>
      <c r="D10" s="243"/>
      <c r="E10" s="243" t="s">
        <v>78</v>
      </c>
      <c r="F10" s="243"/>
    </row>
    <row r="11" spans="1:9" x14ac:dyDescent="0.2">
      <c r="B11" s="246"/>
      <c r="C11" s="243"/>
      <c r="D11" s="243"/>
      <c r="E11" s="243"/>
      <c r="F11" s="243"/>
    </row>
    <row r="12" spans="1:9" x14ac:dyDescent="0.2">
      <c r="B12" s="50" t="s">
        <v>42</v>
      </c>
      <c r="C12" s="150">
        <f>(1+'Q2 Base'!F8)^4/(1+'Q2 Base'!E8)^3-1</f>
        <v>1.3330254634839056E-2</v>
      </c>
      <c r="D12" s="151" t="str">
        <f t="shared" ref="D12:D31" si="0">IF(C12=MAX($C$12:$C$31),B12,"")</f>
        <v/>
      </c>
      <c r="E12" s="154">
        <f>((1+'Q2 Base'!J8)^8/(1+'Q2 Base'!H8)^6)^0.5-1</f>
        <v>1.4490059115824572E-2</v>
      </c>
      <c r="F12" s="155" t="str">
        <f t="shared" ref="F12:F31" si="1">IF(E12=MAX($E$12:$E$31),B12,"")</f>
        <v/>
      </c>
      <c r="H12" s="9" t="s">
        <v>23</v>
      </c>
      <c r="I12" s="10"/>
    </row>
    <row r="13" spans="1:9" x14ac:dyDescent="0.2">
      <c r="B13" s="50" t="s">
        <v>43</v>
      </c>
      <c r="C13" s="150">
        <f>(1+'Q2 Base'!F9)^4/(1+'Q2 Base'!E9)^3-1</f>
        <v>1.3080886220393495E-2</v>
      </c>
      <c r="D13" s="151" t="str">
        <f t="shared" si="0"/>
        <v/>
      </c>
      <c r="E13" s="154">
        <f>((1+'Q2 Base'!J9)^8/(1+'Q2 Base'!H9)^6)^0.5-1</f>
        <v>1.5170037840092743E-2</v>
      </c>
      <c r="F13" s="155" t="str">
        <f t="shared" si="1"/>
        <v/>
      </c>
      <c r="H13" s="158">
        <v>2</v>
      </c>
      <c r="I13" s="159" t="s">
        <v>79</v>
      </c>
    </row>
    <row r="14" spans="1:9" x14ac:dyDescent="0.2">
      <c r="B14" s="50" t="s">
        <v>44</v>
      </c>
      <c r="C14" s="150">
        <f>(1+'Q2 Base'!F10)^4/(1+'Q2 Base'!E10)^3-1</f>
        <v>1.0502991052148136E-2</v>
      </c>
      <c r="D14" s="151" t="str">
        <f t="shared" si="0"/>
        <v/>
      </c>
      <c r="E14" s="154">
        <f>((1+'Q2 Base'!J10)^8/(1+'Q2 Base'!H10)^6)^0.5-1</f>
        <v>1.5880115836200304E-2</v>
      </c>
      <c r="F14" s="155" t="str">
        <f t="shared" si="1"/>
        <v/>
      </c>
      <c r="H14" s="158">
        <v>1</v>
      </c>
      <c r="I14" s="159" t="s">
        <v>80</v>
      </c>
    </row>
    <row r="15" spans="1:9" x14ac:dyDescent="0.2">
      <c r="B15" s="50" t="s">
        <v>45</v>
      </c>
      <c r="C15" s="150">
        <f>(1+'Q2 Base'!F11)^4/(1+'Q2 Base'!E11)^3-1</f>
        <v>1.210326351120905E-2</v>
      </c>
      <c r="D15" s="151" t="str">
        <f t="shared" si="0"/>
        <v/>
      </c>
      <c r="E15" s="154">
        <f>((1+'Q2 Base'!J11)^8/(1+'Q2 Base'!H11)^6)^0.5-1</f>
        <v>1.6800191346113547E-2</v>
      </c>
      <c r="F15" s="155" t="str">
        <f t="shared" si="1"/>
        <v/>
      </c>
      <c r="H15" s="160">
        <v>1</v>
      </c>
      <c r="I15" s="161" t="s">
        <v>81</v>
      </c>
    </row>
    <row r="16" spans="1:9" x14ac:dyDescent="0.2">
      <c r="B16" s="50" t="s">
        <v>46</v>
      </c>
      <c r="C16" s="150">
        <f>(1+'Q2 Base'!F12)^4/(1+'Q2 Base'!E12)^3-1</f>
        <v>1.1484218400935386E-2</v>
      </c>
      <c r="D16" s="151" t="str">
        <f t="shared" si="0"/>
        <v/>
      </c>
      <c r="E16" s="154">
        <f>((1+'Q2 Base'!J12)^8/(1+'Q2 Base'!H12)^6)^0.5-1</f>
        <v>1.6300059064806804E-2</v>
      </c>
      <c r="F16" s="155" t="str">
        <f t="shared" si="1"/>
        <v/>
      </c>
      <c r="H16" s="162">
        <v>2</v>
      </c>
      <c r="I16" s="163" t="s">
        <v>79</v>
      </c>
    </row>
    <row r="17" spans="2:9" x14ac:dyDescent="0.2">
      <c r="B17" s="50" t="s">
        <v>47</v>
      </c>
      <c r="C17" s="150">
        <f>(1+'Q2 Base'!F13)^4/(1+'Q2 Base'!E13)^3-1</f>
        <v>1.2618413283190799E-2</v>
      </c>
      <c r="D17" s="151" t="str">
        <f t="shared" si="0"/>
        <v/>
      </c>
      <c r="E17" s="154">
        <f>((1+'Q2 Base'!J13)^8/(1+'Q2 Base'!H13)^6)^0.5-1</f>
        <v>1.6430014760922651E-2</v>
      </c>
      <c r="F17" s="155" t="str">
        <f t="shared" si="1"/>
        <v/>
      </c>
      <c r="H17" s="162">
        <v>1</v>
      </c>
      <c r="I17" s="163" t="s">
        <v>80</v>
      </c>
    </row>
    <row r="18" spans="2:9" x14ac:dyDescent="0.2">
      <c r="B18" s="50" t="s">
        <v>48</v>
      </c>
      <c r="C18" s="150">
        <f>(1+'Q2 Base'!F14)^4/(1+'Q2 Base'!E14)^3-1</f>
        <v>1.2538208070628887E-2</v>
      </c>
      <c r="D18" s="151" t="str">
        <f t="shared" si="0"/>
        <v/>
      </c>
      <c r="E18" s="154">
        <f>((1+'Q2 Base'!J14)^8/(1+'Q2 Base'!H14)^6)^0.5-1</f>
        <v>1.6890099775324741E-2</v>
      </c>
      <c r="F18" s="155" t="str">
        <f t="shared" si="1"/>
        <v/>
      </c>
      <c r="H18" s="164">
        <v>1</v>
      </c>
      <c r="I18" s="165" t="s">
        <v>81</v>
      </c>
    </row>
    <row r="19" spans="2:9" x14ac:dyDescent="0.2">
      <c r="B19" s="50" t="s">
        <v>49</v>
      </c>
      <c r="C19" s="150">
        <f>(1+'Q2 Base'!F15)^4/(1+'Q2 Base'!E15)^3-1</f>
        <v>1.2040119447570774E-2</v>
      </c>
      <c r="D19" s="151" t="str">
        <f t="shared" si="0"/>
        <v/>
      </c>
      <c r="E19" s="154">
        <f>((1+'Q2 Base'!J15)^8/(1+'Q2 Base'!H15)^6)^0.5-1</f>
        <v>1.5070213198067561E-2</v>
      </c>
      <c r="F19" s="155" t="str">
        <f t="shared" si="1"/>
        <v/>
      </c>
      <c r="H19" s="9">
        <f>SUM(H12:H18)</f>
        <v>8</v>
      </c>
      <c r="I19" s="9" t="s">
        <v>36</v>
      </c>
    </row>
    <row r="20" spans="2:9" x14ac:dyDescent="0.2">
      <c r="B20" s="50" t="s">
        <v>50</v>
      </c>
      <c r="C20" s="150">
        <f>(1+'Q2 Base'!F16)^4/(1+'Q2 Base'!E16)^3-1</f>
        <v>1.574564767540898E-2</v>
      </c>
      <c r="D20" s="153" t="str">
        <f t="shared" si="0"/>
        <v>I</v>
      </c>
      <c r="E20" s="154">
        <f>((1+'Q2 Base'!J16)^8/(1+'Q2 Base'!H16)^6)^0.5-1</f>
        <v>1.4921090934067571E-2</v>
      </c>
      <c r="F20" s="155" t="str">
        <f t="shared" si="1"/>
        <v/>
      </c>
    </row>
    <row r="21" spans="2:9" x14ac:dyDescent="0.2">
      <c r="B21" s="50" t="s">
        <v>51</v>
      </c>
      <c r="C21" s="150">
        <f>(1+'Q2 Base'!F17)^4/(1+'Q2 Base'!E17)^3-1</f>
        <v>1.4039940229932268E-2</v>
      </c>
      <c r="D21" s="151" t="str">
        <f t="shared" si="0"/>
        <v/>
      </c>
      <c r="E21" s="154">
        <f>((1+'Q2 Base'!J17)^8/(1+'Q2 Base'!H17)^6)^0.5-1</f>
        <v>1.4520682605480451E-2</v>
      </c>
      <c r="F21" s="155" t="str">
        <f t="shared" si="1"/>
        <v/>
      </c>
      <c r="H21" s="7" t="s">
        <v>236</v>
      </c>
    </row>
    <row r="22" spans="2:9" x14ac:dyDescent="0.2">
      <c r="B22" s="50" t="s">
        <v>52</v>
      </c>
      <c r="C22" s="150">
        <f>(1+'Q2 Base'!F18)^4/(1+'Q2 Base'!E18)^3-1</f>
        <v>1.4025224898683186E-2</v>
      </c>
      <c r="D22" s="151" t="str">
        <f t="shared" si="0"/>
        <v/>
      </c>
      <c r="E22" s="154">
        <f>((1+'Q2 Base'!J18)^8/(1+'Q2 Base'!H18)^6)^0.5-1</f>
        <v>1.7110014744285307E-2</v>
      </c>
      <c r="F22" s="155" t="str">
        <f t="shared" si="1"/>
        <v/>
      </c>
      <c r="H22" s="7" t="s">
        <v>237</v>
      </c>
    </row>
    <row r="23" spans="2:9" x14ac:dyDescent="0.2">
      <c r="B23" s="50" t="s">
        <v>53</v>
      </c>
      <c r="C23" s="150">
        <f>(1+'Q2 Base'!F19)^4/(1+'Q2 Base'!E19)^3-1</f>
        <v>1.3148820261621452E-2</v>
      </c>
      <c r="D23" s="151" t="str">
        <f t="shared" si="0"/>
        <v/>
      </c>
      <c r="E23" s="154">
        <f>((1+'Q2 Base'!J19)^8/(1+'Q2 Base'!H19)^6)^0.5-1</f>
        <v>1.8390496147292268E-2</v>
      </c>
      <c r="F23" s="157" t="str">
        <f t="shared" si="1"/>
        <v>L</v>
      </c>
      <c r="H23" s="7" t="s">
        <v>238</v>
      </c>
    </row>
    <row r="24" spans="2:9" x14ac:dyDescent="0.2">
      <c r="B24" s="50" t="s">
        <v>54</v>
      </c>
      <c r="C24" s="150">
        <f>(1+'Q2 Base'!F20)^4/(1+'Q2 Base'!E20)^3-1</f>
        <v>1.1814210575279649E-2</v>
      </c>
      <c r="D24" s="151" t="str">
        <f t="shared" si="0"/>
        <v/>
      </c>
      <c r="E24" s="154">
        <f>((1+'Q2 Base'!J20)^8/(1+'Q2 Base'!H20)^6)^0.5-1</f>
        <v>1.7330682849649115E-2</v>
      </c>
      <c r="F24" s="155" t="str">
        <f t="shared" si="1"/>
        <v/>
      </c>
    </row>
    <row r="25" spans="2:9" x14ac:dyDescent="0.2">
      <c r="B25" s="50" t="s">
        <v>55</v>
      </c>
      <c r="C25" s="150">
        <f>(1+'Q2 Base'!F21)^4/(1+'Q2 Base'!E21)^3-1</f>
        <v>1.1928425737138371E-2</v>
      </c>
      <c r="D25" s="151" t="str">
        <f t="shared" si="0"/>
        <v/>
      </c>
      <c r="E25" s="154">
        <f>((1+'Q2 Base'!J21)^8/(1+'Q2 Base'!H21)^6)^0.5-1</f>
        <v>1.4730028963900077E-2</v>
      </c>
      <c r="F25" s="155" t="str">
        <f t="shared" si="1"/>
        <v/>
      </c>
    </row>
    <row r="26" spans="2:9" x14ac:dyDescent="0.2">
      <c r="B26" s="50" t="s">
        <v>56</v>
      </c>
      <c r="C26" s="150">
        <f>(1+'Q2 Base'!F22)^4/(1+'Q2 Base'!E22)^3-1</f>
        <v>1.382024970845297E-2</v>
      </c>
      <c r="D26" s="151" t="str">
        <f t="shared" si="0"/>
        <v/>
      </c>
      <c r="E26" s="154">
        <f>((1+'Q2 Base'!J22)^8/(1+'Q2 Base'!H22)^6)^0.5-1</f>
        <v>1.1486508390599059E-2</v>
      </c>
      <c r="F26" s="155" t="str">
        <f t="shared" si="1"/>
        <v/>
      </c>
    </row>
    <row r="27" spans="2:9" x14ac:dyDescent="0.2">
      <c r="B27" s="50" t="s">
        <v>57</v>
      </c>
      <c r="C27" s="150">
        <f>(1+'Q2 Base'!F23)^4/(1+'Q2 Base'!E23)^3-1</f>
        <v>1.4497916041483316E-2</v>
      </c>
      <c r="D27" s="151" t="str">
        <f t="shared" si="0"/>
        <v/>
      </c>
      <c r="E27" s="154">
        <f>((1+'Q2 Base'!J23)^8/(1+'Q2 Base'!H23)^6)^0.5-1</f>
        <v>1.1318638122772562E-2</v>
      </c>
      <c r="F27" s="155" t="str">
        <f t="shared" si="1"/>
        <v/>
      </c>
    </row>
    <row r="28" spans="2:9" x14ac:dyDescent="0.2">
      <c r="B28" s="50" t="s">
        <v>58</v>
      </c>
      <c r="C28" s="150">
        <f>(1+'Q2 Base'!F24)^4/(1+'Q2 Base'!E24)^3-1</f>
        <v>1.3430253629069577E-2</v>
      </c>
      <c r="D28" s="151" t="str">
        <f t="shared" si="0"/>
        <v/>
      </c>
      <c r="E28" s="154">
        <f>((1+'Q2 Base'!J24)^8/(1+'Q2 Base'!H24)^6)^0.5-1</f>
        <v>1.2472573580516455E-2</v>
      </c>
      <c r="F28" s="155" t="str">
        <f t="shared" si="1"/>
        <v/>
      </c>
    </row>
    <row r="29" spans="2:9" x14ac:dyDescent="0.2">
      <c r="B29" s="50" t="s">
        <v>59</v>
      </c>
      <c r="C29" s="150">
        <f>(1+'Q2 Base'!F25)^4/(1+'Q2 Base'!E25)^3-1</f>
        <v>1.3212368044290823E-2</v>
      </c>
      <c r="D29" s="151" t="str">
        <f t="shared" si="0"/>
        <v/>
      </c>
      <c r="E29" s="154">
        <f>((1+'Q2 Base'!J25)^8/(1+'Q2 Base'!H25)^6)^0.5-1</f>
        <v>1.0538932071498808E-2</v>
      </c>
      <c r="F29" s="155" t="str">
        <f t="shared" si="1"/>
        <v/>
      </c>
    </row>
    <row r="30" spans="2:9" x14ac:dyDescent="0.2">
      <c r="B30" s="50" t="s">
        <v>60</v>
      </c>
      <c r="C30" s="150">
        <f>(1+'Q2 Base'!F26)^4/(1+'Q2 Base'!E26)^3-1</f>
        <v>1.2547594872619472E-2</v>
      </c>
      <c r="D30" s="151" t="str">
        <f t="shared" si="0"/>
        <v/>
      </c>
      <c r="E30" s="154">
        <f>((1+'Q2 Base'!J26)^8/(1+'Q2 Base'!H26)^6)^0.5-1</f>
        <v>1.2443062019654949E-2</v>
      </c>
      <c r="F30" s="155" t="str">
        <f t="shared" si="1"/>
        <v/>
      </c>
    </row>
    <row r="31" spans="2:9" x14ac:dyDescent="0.2">
      <c r="B31" s="50" t="s">
        <v>61</v>
      </c>
      <c r="C31" s="150">
        <f>(1+'Q2 Base'!F27)^4/(1+'Q2 Base'!E27)^3-1</f>
        <v>1.2833950488209345E-2</v>
      </c>
      <c r="D31" s="151" t="str">
        <f t="shared" si="0"/>
        <v/>
      </c>
      <c r="E31" s="154">
        <f>((1+'Q2 Base'!J27)^8/(1+'Q2 Base'!H27)^6)^0.5-1</f>
        <v>1.291172301376009E-2</v>
      </c>
      <c r="F31" s="155" t="str">
        <f t="shared" si="1"/>
        <v/>
      </c>
    </row>
  </sheetData>
  <mergeCells count="5">
    <mergeCell ref="C9:D9"/>
    <mergeCell ref="E9:F9"/>
    <mergeCell ref="C10:D11"/>
    <mergeCell ref="E10:F11"/>
    <mergeCell ref="B10:B11"/>
  </mergeCells>
  <printOptions gridLines="1"/>
  <pageMargins left="0.7" right="0.7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topLeftCell="E2" workbookViewId="0">
      <selection activeCell="O24" sqref="O24"/>
    </sheetView>
  </sheetViews>
  <sheetFormatPr defaultRowHeight="14.25" x14ac:dyDescent="0.2"/>
  <cols>
    <col min="1" max="1" width="3.140625" style="1" customWidth="1"/>
    <col min="2" max="12" width="9.140625" style="1"/>
    <col min="13" max="13" width="6.42578125" style="1" customWidth="1"/>
    <col min="14" max="14" width="9.140625" style="1"/>
    <col min="15" max="15" width="13.28515625" style="1" bestFit="1" customWidth="1"/>
    <col min="16" max="16" width="21.28515625" style="1" customWidth="1"/>
    <col min="17" max="17" width="9.140625" style="1"/>
    <col min="18" max="18" width="3.42578125" style="1" customWidth="1"/>
    <col min="19" max="19" width="49.140625" style="1" bestFit="1" customWidth="1"/>
    <col min="20" max="16384" width="9.140625" style="1"/>
  </cols>
  <sheetData>
    <row r="2" spans="1:19" s="2" customFormat="1" ht="25.5" x14ac:dyDescent="0.35">
      <c r="A2" s="52" t="s">
        <v>82</v>
      </c>
    </row>
    <row r="3" spans="1:19" s="7" customFormat="1" ht="12.75" x14ac:dyDescent="0.2"/>
    <row r="4" spans="1:19" s="7" customFormat="1" ht="12.75" x14ac:dyDescent="0.2">
      <c r="C4" s="53" t="s">
        <v>83</v>
      </c>
    </row>
    <row r="5" spans="1:19" s="7" customFormat="1" ht="12.75" x14ac:dyDescent="0.2">
      <c r="B5" s="7" t="s">
        <v>84</v>
      </c>
      <c r="C5" s="171" t="s">
        <v>85</v>
      </c>
      <c r="E5" s="42" t="s">
        <v>10</v>
      </c>
    </row>
    <row r="6" spans="1:19" s="7" customFormat="1" ht="12.75" x14ac:dyDescent="0.2"/>
    <row r="7" spans="1:19" s="10" customFormat="1" ht="12.75" x14ac:dyDescent="0.2">
      <c r="C7" s="247" t="s">
        <v>13</v>
      </c>
      <c r="D7" s="247"/>
      <c r="E7" s="247"/>
      <c r="F7" s="247"/>
      <c r="G7" s="247"/>
      <c r="H7" s="247"/>
      <c r="I7" s="247"/>
      <c r="J7" s="247"/>
      <c r="K7" s="247"/>
      <c r="L7" s="247"/>
      <c r="M7" s="43"/>
      <c r="N7" s="43"/>
      <c r="O7" s="19" t="s">
        <v>13</v>
      </c>
      <c r="P7" s="42" t="s">
        <v>10</v>
      </c>
    </row>
    <row r="8" spans="1:19" s="7" customFormat="1" ht="12.75" x14ac:dyDescent="0.2">
      <c r="B8" s="55" t="s">
        <v>86</v>
      </c>
      <c r="C8" s="55">
        <v>1</v>
      </c>
      <c r="D8" s="55">
        <v>2</v>
      </c>
      <c r="E8" s="55">
        <v>3</v>
      </c>
      <c r="F8" s="55">
        <v>4</v>
      </c>
      <c r="G8" s="55">
        <v>5</v>
      </c>
      <c r="H8" s="55">
        <v>6</v>
      </c>
      <c r="I8" s="55">
        <v>7</v>
      </c>
      <c r="J8" s="55">
        <v>8</v>
      </c>
      <c r="K8" s="55">
        <v>9</v>
      </c>
      <c r="L8" s="55">
        <v>10</v>
      </c>
      <c r="O8" s="233" t="s">
        <v>87</v>
      </c>
      <c r="P8" s="233" t="s">
        <v>88</v>
      </c>
    </row>
    <row r="9" spans="1:19" s="7" customFormat="1" ht="12.75" x14ac:dyDescent="0.2">
      <c r="B9" s="50" t="s">
        <v>89</v>
      </c>
      <c r="C9" s="166">
        <v>1000</v>
      </c>
      <c r="D9" s="166">
        <f t="shared" ref="D9:L9" si="0">$C9+500*(D8-1)</f>
        <v>1500</v>
      </c>
      <c r="E9" s="166">
        <f t="shared" si="0"/>
        <v>2000</v>
      </c>
      <c r="F9" s="166">
        <f t="shared" si="0"/>
        <v>2500</v>
      </c>
      <c r="G9" s="166">
        <f t="shared" si="0"/>
        <v>3000</v>
      </c>
      <c r="H9" s="166">
        <f t="shared" si="0"/>
        <v>3500</v>
      </c>
      <c r="I9" s="166">
        <f t="shared" si="0"/>
        <v>4000</v>
      </c>
      <c r="J9" s="166">
        <f t="shared" si="0"/>
        <v>4500</v>
      </c>
      <c r="K9" s="166">
        <f t="shared" si="0"/>
        <v>5000</v>
      </c>
      <c r="L9" s="166">
        <f t="shared" si="0"/>
        <v>5500</v>
      </c>
      <c r="M9" s="18" t="s">
        <v>13</v>
      </c>
      <c r="N9" s="43"/>
      <c r="O9" s="233"/>
      <c r="P9" s="233"/>
    </row>
    <row r="10" spans="1:19" s="7" customFormat="1" ht="12.75" x14ac:dyDescent="0.2">
      <c r="B10" s="50" t="s">
        <v>40</v>
      </c>
      <c r="C10" s="248" t="s">
        <v>90</v>
      </c>
      <c r="D10" s="248"/>
      <c r="E10" s="248"/>
      <c r="F10" s="248"/>
      <c r="G10" s="248"/>
      <c r="H10" s="248"/>
      <c r="I10" s="248"/>
      <c r="J10" s="248"/>
      <c r="K10" s="248"/>
      <c r="L10" s="248"/>
      <c r="M10" s="4"/>
      <c r="N10" s="4"/>
      <c r="O10" s="233"/>
      <c r="P10" s="233"/>
    </row>
    <row r="11" spans="1:19" s="7" customFormat="1" ht="12.75" x14ac:dyDescent="0.2">
      <c r="B11" s="6" t="s">
        <v>42</v>
      </c>
      <c r="C11" s="167">
        <f>C$9/((1+'Q2 Base'!C8)^C$8)</f>
        <v>980.69020976963589</v>
      </c>
      <c r="D11" s="167">
        <f>D$9/((1+'Q2 Base'!D8)^D$8)</f>
        <v>1443.3942122973638</v>
      </c>
      <c r="E11" s="167">
        <f>E$9/((1+'Q2 Base'!E8)^E$8)</f>
        <v>1892.426322293752</v>
      </c>
      <c r="F11" s="167">
        <f>F$9/((1+'Q2 Base'!F8)^F$8)</f>
        <v>2334.4145623280806</v>
      </c>
      <c r="G11" s="167">
        <f>G$9/((1+'Q2 Base'!G8)^G$8)</f>
        <v>2794.5413233169629</v>
      </c>
      <c r="H11" s="167">
        <f>H$9/((1+'Q2 Base'!H8)^H$8)</f>
        <v>3202.9798354130712</v>
      </c>
      <c r="I11" s="167">
        <f>I$9/((1+'Q2 Base'!I8)^I$8)</f>
        <v>3611.0745038220794</v>
      </c>
      <c r="J11" s="167">
        <f>J$9/((1+'Q2 Base'!J8)^J$8)</f>
        <v>4001.3181346112488</v>
      </c>
      <c r="K11" s="167">
        <f>K$9/((1+'Q2 Base'!K8)^K$8)</f>
        <v>4362.1191539178335</v>
      </c>
      <c r="L11" s="167">
        <f>L$9/((1+'Q2 Base'!L8)^L$8)</f>
        <v>4598.1833970232428</v>
      </c>
      <c r="M11" s="48"/>
      <c r="N11" s="48"/>
      <c r="O11" s="168">
        <f t="shared" ref="O11:O30" si="1">SUM(C11:L11)</f>
        <v>29221.141654793271</v>
      </c>
      <c r="P11" s="170" t="str">
        <f t="shared" ref="P11:P30" si="2">IF(O11=MIN($O$11:$O$30),B11,"")</f>
        <v/>
      </c>
      <c r="R11" s="9" t="s">
        <v>23</v>
      </c>
      <c r="S11" s="10"/>
    </row>
    <row r="12" spans="1:19" s="7" customFormat="1" ht="12.75" x14ac:dyDescent="0.2">
      <c r="B12" s="6" t="s">
        <v>43</v>
      </c>
      <c r="C12" s="167">
        <f>C$9/((1+'Q2 Base'!C9)^C$8)</f>
        <v>980.75753712167284</v>
      </c>
      <c r="D12" s="167">
        <f>D$9/((1+'Q2 Base'!D9)^D$8)</f>
        <v>1443.3942122973638</v>
      </c>
      <c r="E12" s="167">
        <f>E$9/((1+'Q2 Base'!E9)^E$8)</f>
        <v>1892.9280358346869</v>
      </c>
      <c r="F12" s="167">
        <f>F$9/((1+'Q2 Base'!F9)^F$8)</f>
        <v>2335.6082194197134</v>
      </c>
      <c r="G12" s="167">
        <f>G$9/((1+'Q2 Base'!G9)^G$8)</f>
        <v>2795.0924225044</v>
      </c>
      <c r="H12" s="167">
        <f>H$9/((1+'Q2 Base'!H9)^H$8)</f>
        <v>3203.7373768341272</v>
      </c>
      <c r="I12" s="167">
        <f>I$9/((1+'Q2 Base'!I9)^I$8)</f>
        <v>3626.0564182846797</v>
      </c>
      <c r="J12" s="167">
        <f>J$9/((1+'Q2 Base'!J9)^J$8)</f>
        <v>3996.9047136984536</v>
      </c>
      <c r="K12" s="167">
        <f>K$9/((1+'Q2 Base'!K9)^K$8)</f>
        <v>4351.3069665014173</v>
      </c>
      <c r="L12" s="167">
        <f>L$9/((1+'Q2 Base'!L9)^L$8)</f>
        <v>4588.2587447380129</v>
      </c>
      <c r="M12" s="48"/>
      <c r="N12" s="48"/>
      <c r="O12" s="168">
        <f t="shared" si="1"/>
        <v>29214.044647234528</v>
      </c>
      <c r="P12" s="170" t="str">
        <f t="shared" si="2"/>
        <v/>
      </c>
      <c r="R12" s="178">
        <v>2</v>
      </c>
      <c r="S12" s="179" t="s">
        <v>91</v>
      </c>
    </row>
    <row r="13" spans="1:19" s="7" customFormat="1" ht="12.75" x14ac:dyDescent="0.2">
      <c r="B13" s="6" t="s">
        <v>44</v>
      </c>
      <c r="C13" s="167">
        <f>C$9/((1+'Q2 Base'!C10)^C$8)</f>
        <v>980.5651977800004</v>
      </c>
      <c r="D13" s="167">
        <f>D$9/((1+'Q2 Base'!D10)^D$8)</f>
        <v>1442.3470183152083</v>
      </c>
      <c r="E13" s="167">
        <f>E$9/((1+'Q2 Base'!E10)^E$8)</f>
        <v>1884.9218498960417</v>
      </c>
      <c r="F13" s="167">
        <f>F$9/((1+'Q2 Base'!F10)^F$8)</f>
        <v>2331.6628780255242</v>
      </c>
      <c r="G13" s="167">
        <f>G$9/((1+'Q2 Base'!G10)^G$8)</f>
        <v>2787.8009288815038</v>
      </c>
      <c r="H13" s="167">
        <f>H$9/((1+'Q2 Base'!H10)^H$8)</f>
        <v>3194.8494494352194</v>
      </c>
      <c r="I13" s="167">
        <f>I$9/((1+'Q2 Base'!I10)^I$8)</f>
        <v>3610.8254053010855</v>
      </c>
      <c r="J13" s="167">
        <f>J$9/((1+'Q2 Base'!J10)^J$8)</f>
        <v>3980.2463023045279</v>
      </c>
      <c r="K13" s="167">
        <f>K$9/((1+'Q2 Base'!K10)^K$8)</f>
        <v>4331.6897684681762</v>
      </c>
      <c r="L13" s="167">
        <f>L$9/((1+'Q2 Base'!L10)^L$8)</f>
        <v>4563.550048051512</v>
      </c>
      <c r="M13" s="48"/>
      <c r="N13" s="48"/>
      <c r="O13" s="168">
        <f t="shared" si="1"/>
        <v>29108.458846458798</v>
      </c>
      <c r="P13" s="170" t="str">
        <f t="shared" si="2"/>
        <v/>
      </c>
      <c r="R13" s="174">
        <v>1</v>
      </c>
      <c r="S13" s="175" t="s">
        <v>92</v>
      </c>
    </row>
    <row r="14" spans="1:19" s="7" customFormat="1" ht="12.75" x14ac:dyDescent="0.2">
      <c r="B14" s="6" t="s">
        <v>45</v>
      </c>
      <c r="C14" s="167">
        <f>C$9/((1+'Q2 Base'!C11)^C$8)</f>
        <v>979.58543944202813</v>
      </c>
      <c r="D14" s="167">
        <f>D$9/((1+'Q2 Base'!D11)^D$8)</f>
        <v>1440.1995966860245</v>
      </c>
      <c r="E14" s="167">
        <f>E$9/((1+'Q2 Base'!E11)^E$8)</f>
        <v>1884.4229635807374</v>
      </c>
      <c r="F14" s="167">
        <f>F$9/((1+'Q2 Base'!F11)^F$8)</f>
        <v>2327.3600524753515</v>
      </c>
      <c r="G14" s="167">
        <f>G$9/((1+'Q2 Base'!G11)^G$8)</f>
        <v>2780.6691829939145</v>
      </c>
      <c r="H14" s="167">
        <f>H$9/((1+'Q2 Base'!H11)^H$8)</f>
        <v>3180.5382746061023</v>
      </c>
      <c r="I14" s="167">
        <f>I$9/((1+'Q2 Base'!I11)^I$8)</f>
        <v>3596.6591972705837</v>
      </c>
      <c r="J14" s="167">
        <f>J$9/((1+'Q2 Base'!J11)^J$8)</f>
        <v>3955.2492524193435</v>
      </c>
      <c r="K14" s="167">
        <f>K$9/((1+'Q2 Base'!K11)^K$8)</f>
        <v>4284.7807465570841</v>
      </c>
      <c r="L14" s="167">
        <f>L$9/((1+'Q2 Base'!L11)^L$8)</f>
        <v>4498.2258583524599</v>
      </c>
      <c r="M14" s="48"/>
      <c r="N14" s="48"/>
      <c r="O14" s="168">
        <f t="shared" si="1"/>
        <v>28927.690564383629</v>
      </c>
      <c r="P14" s="170" t="str">
        <f t="shared" si="2"/>
        <v/>
      </c>
      <c r="R14" s="174">
        <v>1</v>
      </c>
      <c r="S14" s="175" t="s">
        <v>93</v>
      </c>
    </row>
    <row r="15" spans="1:19" x14ac:dyDescent="0.2">
      <c r="B15" s="6" t="s">
        <v>46</v>
      </c>
      <c r="C15" s="167">
        <f>C$9/((1+'Q2 Base'!C12)^C$8)</f>
        <v>979.96942495394137</v>
      </c>
      <c r="D15" s="167">
        <f>D$9/((1+'Q2 Base'!D12)^D$8)</f>
        <v>1441.1879447049623</v>
      </c>
      <c r="E15" s="167">
        <f>E$9/((1+'Q2 Base'!E12)^E$8)</f>
        <v>1886.9746781352278</v>
      </c>
      <c r="F15" s="167">
        <f>F$9/((1+'Q2 Base'!F12)^F$8)</f>
        <v>2331.9378639421125</v>
      </c>
      <c r="G15" s="167">
        <f>G$9/((1+'Q2 Base'!G12)^G$8)</f>
        <v>2781.7649484258927</v>
      </c>
      <c r="H15" s="167">
        <f>H$9/((1+'Q2 Base'!H12)^H$8)</f>
        <v>3183.9209926345034</v>
      </c>
      <c r="I15" s="167">
        <f>I$9/((1+'Q2 Base'!I12)^I$8)</f>
        <v>3597.1551806897819</v>
      </c>
      <c r="J15" s="167">
        <f>J$9/((1+'Q2 Base'!J12)^J$8)</f>
        <v>3963.353869364008</v>
      </c>
      <c r="K15" s="167">
        <f>K$9/((1+'Q2 Base'!K12)^K$8)</f>
        <v>4288.9527973151444</v>
      </c>
      <c r="L15" s="167">
        <f>L$9/((1+'Q2 Base'!L12)^L$8)</f>
        <v>4506.1691975039193</v>
      </c>
      <c r="M15" s="48"/>
      <c r="N15" s="48"/>
      <c r="O15" s="168">
        <f t="shared" si="1"/>
        <v>28961.386897669494</v>
      </c>
      <c r="P15" s="170" t="str">
        <f t="shared" si="2"/>
        <v/>
      </c>
      <c r="R15" s="176">
        <v>2</v>
      </c>
      <c r="S15" s="177" t="s">
        <v>94</v>
      </c>
    </row>
    <row r="16" spans="1:19" x14ac:dyDescent="0.2">
      <c r="B16" s="6" t="s">
        <v>47</v>
      </c>
      <c r="C16" s="167">
        <f>C$9/((1+'Q2 Base'!C13)^C$8)</f>
        <v>979.6430180842101</v>
      </c>
      <c r="D16" s="167">
        <f>D$9/((1+'Q2 Base'!D13)^D$8)</f>
        <v>1441.1031893014429</v>
      </c>
      <c r="E16" s="167">
        <f>E$9/((1+'Q2 Base'!E13)^E$8)</f>
        <v>1886.4195658562942</v>
      </c>
      <c r="F16" s="167">
        <f>F$9/((1+'Q2 Base'!F13)^F$8)</f>
        <v>2328.6407064977179</v>
      </c>
      <c r="G16" s="167">
        <f>G$9/((1+'Q2 Base'!G13)^G$8)</f>
        <v>2778.8896686640414</v>
      </c>
      <c r="H16" s="167">
        <f>H$9/((1+'Q2 Base'!H13)^H$8)</f>
        <v>3177.7225455222415</v>
      </c>
      <c r="I16" s="167">
        <f>I$9/((1+'Q2 Base'!I13)^I$8)</f>
        <v>3592.4464923303854</v>
      </c>
      <c r="J16" s="167">
        <f>J$9/((1+'Q2 Base'!J13)^J$8)</f>
        <v>3954.626593021394</v>
      </c>
      <c r="K16" s="167">
        <f>K$9/((1+'Q2 Base'!K13)^K$8)</f>
        <v>4288.1939070267063</v>
      </c>
      <c r="L16" s="167">
        <f>L$9/((1+'Q2 Base'!L13)^L$8)</f>
        <v>4503.0782891725639</v>
      </c>
      <c r="M16" s="48"/>
      <c r="N16" s="48"/>
      <c r="O16" s="168">
        <f t="shared" si="1"/>
        <v>28930.763975476999</v>
      </c>
      <c r="P16" s="170" t="str">
        <f t="shared" si="2"/>
        <v/>
      </c>
      <c r="R16" s="172">
        <v>1</v>
      </c>
      <c r="S16" s="173" t="s">
        <v>95</v>
      </c>
    </row>
    <row r="17" spans="2:19" x14ac:dyDescent="0.2">
      <c r="B17" s="6" t="s">
        <v>48</v>
      </c>
      <c r="C17" s="167">
        <f>C$9/((1+'Q2 Base'!C14)^C$8)</f>
        <v>979.76779503257717</v>
      </c>
      <c r="D17" s="167">
        <f>D$9/((1+'Q2 Base'!D14)^D$8)</f>
        <v>1441.5270411006527</v>
      </c>
      <c r="E17" s="167">
        <f>E$9/((1+'Q2 Base'!E14)^E$8)</f>
        <v>1887.085726726415</v>
      </c>
      <c r="F17" s="167">
        <f>F$9/((1+'Q2 Base'!F14)^F$8)</f>
        <v>2329.6475526615172</v>
      </c>
      <c r="G17" s="167">
        <f>G$9/((1+'Q2 Base'!G14)^G$8)</f>
        <v>2774.9249049496711</v>
      </c>
      <c r="H17" s="167">
        <f>H$9/((1+'Q2 Base'!H14)^H$8)</f>
        <v>3175.0971552569163</v>
      </c>
      <c r="I17" s="167">
        <f>I$9/((1+'Q2 Base'!I14)^I$8)</f>
        <v>3584.7790099742397</v>
      </c>
      <c r="J17" s="167">
        <f>J$9/((1+'Q2 Base'!J14)^J$8)</f>
        <v>3947.784612924464</v>
      </c>
      <c r="K17" s="167">
        <f>K$9/((1+'Q2 Base'!K14)^K$8)</f>
        <v>4278.7203563612293</v>
      </c>
      <c r="L17" s="167">
        <f>L$9/((1+'Q2 Base'!L14)^L$8)</f>
        <v>4495.5815024208514</v>
      </c>
      <c r="M17" s="48"/>
      <c r="N17" s="48"/>
      <c r="O17" s="168">
        <f t="shared" si="1"/>
        <v>28894.915657408535</v>
      </c>
      <c r="P17" s="170" t="str">
        <f t="shared" si="2"/>
        <v/>
      </c>
      <c r="R17" s="172">
        <v>1</v>
      </c>
      <c r="S17" s="173" t="s">
        <v>96</v>
      </c>
    </row>
    <row r="18" spans="2:19" x14ac:dyDescent="0.2">
      <c r="B18" s="6" t="s">
        <v>49</v>
      </c>
      <c r="C18" s="167">
        <f>C$9/((1+'Q2 Base'!C15)^C$8)</f>
        <v>980.57481295535433</v>
      </c>
      <c r="D18" s="167">
        <f>D$9/((1+'Q2 Base'!D15)^D$8)</f>
        <v>1442.7148214362887</v>
      </c>
      <c r="E18" s="167">
        <f>E$9/((1+'Q2 Base'!E15)^E$8)</f>
        <v>1887.8633108988295</v>
      </c>
      <c r="F18" s="167">
        <f>F$9/((1+'Q2 Base'!F15)^F$8)</f>
        <v>2331.754535493777</v>
      </c>
      <c r="G18" s="167">
        <f>G$9/((1+'Q2 Base'!G15)^G$8)</f>
        <v>2785.4669842384728</v>
      </c>
      <c r="H18" s="167">
        <f>H$9/((1+'Q2 Base'!H15)^H$8)</f>
        <v>3185.2376275138517</v>
      </c>
      <c r="I18" s="167">
        <f>I$9/((1+'Q2 Base'!I15)^I$8)</f>
        <v>3604.6043200453814</v>
      </c>
      <c r="J18" s="167">
        <f>J$9/((1+'Q2 Base'!J15)^J$8)</f>
        <v>3974.6065080267463</v>
      </c>
      <c r="K18" s="167">
        <f>K$9/((1+'Q2 Base'!K15)^K$8)</f>
        <v>4314.8440693024722</v>
      </c>
      <c r="L18" s="167">
        <f>L$9/((1+'Q2 Base'!L15)^L$8)</f>
        <v>4546.5640937499202</v>
      </c>
      <c r="M18" s="48"/>
      <c r="N18" s="48"/>
      <c r="O18" s="168">
        <f t="shared" si="1"/>
        <v>29054.231083661096</v>
      </c>
      <c r="P18" s="170" t="str">
        <f t="shared" si="2"/>
        <v/>
      </c>
      <c r="R18" s="9">
        <f>SUM(R11:R17)</f>
        <v>8</v>
      </c>
      <c r="S18" s="9" t="s">
        <v>36</v>
      </c>
    </row>
    <row r="19" spans="2:19" x14ac:dyDescent="0.2">
      <c r="B19" s="6" t="s">
        <v>50</v>
      </c>
      <c r="C19" s="167">
        <f>C$9/((1+'Q2 Base'!C16)^C$8)</f>
        <v>980.68059233107772</v>
      </c>
      <c r="D19" s="167">
        <f>D$9/((1+'Q2 Base'!D16)^D$8)</f>
        <v>1444.1591008033861</v>
      </c>
      <c r="E19" s="167">
        <f>E$9/((1+'Q2 Base'!E16)^E$8)</f>
        <v>1886.5305708913281</v>
      </c>
      <c r="F19" s="167">
        <f>F$9/((1+'Q2 Base'!F16)^F$8)</f>
        <v>2321.6079921296728</v>
      </c>
      <c r="G19" s="167">
        <f>G$9/((1+'Q2 Base'!G16)^G$8)</f>
        <v>2788.075664860562</v>
      </c>
      <c r="H19" s="167">
        <f>H$9/((1+'Q2 Base'!H16)^H$8)</f>
        <v>3170.0410454640628</v>
      </c>
      <c r="I19" s="167">
        <f>I$9/((1+'Q2 Base'!I16)^I$8)</f>
        <v>3585.0260560003844</v>
      </c>
      <c r="J19" s="167">
        <f>J$9/((1+'Q2 Base'!J16)^J$8)</f>
        <v>3956.8063835032667</v>
      </c>
      <c r="K19" s="167">
        <f>K$9/((1+'Q2 Base'!K16)^K$8)</f>
        <v>4300.3540770625023</v>
      </c>
      <c r="L19" s="167">
        <f>L$9/((1+'Q2 Base'!L16)^L$8)</f>
        <v>4537.6520609540648</v>
      </c>
      <c r="M19" s="48"/>
      <c r="N19" s="48"/>
      <c r="O19" s="168">
        <f t="shared" si="1"/>
        <v>28970.933544000309</v>
      </c>
      <c r="P19" s="170" t="str">
        <f t="shared" si="2"/>
        <v/>
      </c>
    </row>
    <row r="20" spans="2:19" ht="14.25" customHeight="1" x14ac:dyDescent="0.2">
      <c r="B20" s="6" t="s">
        <v>51</v>
      </c>
      <c r="C20" s="167">
        <f>C$9/((1+'Q2 Base'!C17)^C$8)</f>
        <v>980.87297694948495</v>
      </c>
      <c r="D20" s="167">
        <f>D$9/((1+'Q2 Base'!D17)^D$8)</f>
        <v>1445.4352667645703</v>
      </c>
      <c r="E20" s="167">
        <f>E$9/((1+'Q2 Base'!E17)^E$8)</f>
        <v>1888.9192871728524</v>
      </c>
      <c r="F20" s="167">
        <f>F$9/((1+'Q2 Base'!F17)^F$8)</f>
        <v>2328.4577020020315</v>
      </c>
      <c r="G20" s="167">
        <f>G$9/((1+'Q2 Base'!G17)^G$8)</f>
        <v>2782.7241682588888</v>
      </c>
      <c r="H20" s="167">
        <f>H$9/((1+'Q2 Base'!H17)^H$8)</f>
        <v>3184.2971092275243</v>
      </c>
      <c r="I20" s="167">
        <f>I$9/((1+'Q2 Base'!I17)^I$8)</f>
        <v>3600.8775489336867</v>
      </c>
      <c r="J20" s="167">
        <f>J$9/((1+'Q2 Base'!J17)^J$8)</f>
        <v>3977.7386163458873</v>
      </c>
      <c r="K20" s="167">
        <f>K$9/((1+'Q2 Base'!K17)^K$8)</f>
        <v>4337.0650783719129</v>
      </c>
      <c r="L20" s="167">
        <f>L$9/((1+'Q2 Base'!L17)^L$8)</f>
        <v>4579.2567782948745</v>
      </c>
      <c r="M20" s="48"/>
      <c r="N20" s="48"/>
      <c r="O20" s="168">
        <f t="shared" si="1"/>
        <v>29105.644532321716</v>
      </c>
      <c r="P20" s="170" t="str">
        <f t="shared" si="2"/>
        <v/>
      </c>
      <c r="R20" s="249" t="s">
        <v>97</v>
      </c>
      <c r="S20" s="249"/>
    </row>
    <row r="21" spans="2:19" x14ac:dyDescent="0.2">
      <c r="B21" s="6" t="s">
        <v>52</v>
      </c>
      <c r="C21" s="167">
        <f>C$9/((1+'Q2 Base'!C18)^C$8)</f>
        <v>979.04836498923044</v>
      </c>
      <c r="D21" s="167">
        <f>D$9/((1+'Q2 Base'!D18)^D$8)</f>
        <v>1439.6352827974558</v>
      </c>
      <c r="E21" s="167">
        <f>E$9/((1+'Q2 Base'!E18)^E$8)</f>
        <v>1882.1524857524273</v>
      </c>
      <c r="F21" s="167">
        <f>F$9/((1+'Q2 Base'!F18)^F$8)</f>
        <v>2320.14998189577</v>
      </c>
      <c r="G21" s="167">
        <f>G$9/((1+'Q2 Base'!G18)^G$8)</f>
        <v>2761.576872432111</v>
      </c>
      <c r="H21" s="167">
        <f>H$9/((1+'Q2 Base'!H18)^H$8)</f>
        <v>3157.5349252543233</v>
      </c>
      <c r="I21" s="167">
        <f>I$9/((1+'Q2 Base'!I18)^I$8)</f>
        <v>3569.7459283695116</v>
      </c>
      <c r="J21" s="167">
        <f>J$9/((1+'Q2 Base'!J18)^J$8)</f>
        <v>3924.2509433545547</v>
      </c>
      <c r="K21" s="167">
        <f>K$9/((1+'Q2 Base'!K18)^K$8)</f>
        <v>4219.0100941367964</v>
      </c>
      <c r="L21" s="167">
        <f>L$9/((1+'Q2 Base'!L18)^L$8)</f>
        <v>4416.6084257715438</v>
      </c>
      <c r="M21" s="48"/>
      <c r="N21" s="48"/>
      <c r="O21" s="168">
        <f t="shared" si="1"/>
        <v>28669.713304753728</v>
      </c>
      <c r="P21" s="169" t="str">
        <f t="shared" si="2"/>
        <v>K</v>
      </c>
      <c r="R21" s="249"/>
      <c r="S21" s="249"/>
    </row>
    <row r="22" spans="2:19" x14ac:dyDescent="0.2">
      <c r="B22" s="6" t="s">
        <v>53</v>
      </c>
      <c r="C22" s="167">
        <f>C$9/((1+'Q2 Base'!C19)^C$8)</f>
        <v>979.16340278865744</v>
      </c>
      <c r="D22" s="167">
        <f>D$9/((1+'Q2 Base'!D19)^D$8)</f>
        <v>1439.8045421333625</v>
      </c>
      <c r="E22" s="167">
        <f>E$9/((1+'Q2 Base'!E19)^E$8)</f>
        <v>1883.0380916833867</v>
      </c>
      <c r="F22" s="167">
        <f>F$9/((1+'Q2 Base'!F19)^F$8)</f>
        <v>2323.2496228899731</v>
      </c>
      <c r="G22" s="167">
        <f>G$9/((1+'Q2 Base'!G19)^G$8)</f>
        <v>2760.3548997356438</v>
      </c>
      <c r="H22" s="167">
        <f>H$9/((1+'Q2 Base'!H19)^H$8)</f>
        <v>3159.0251632382324</v>
      </c>
      <c r="I22" s="167">
        <f>I$9/((1+'Q2 Base'!I19)^I$8)</f>
        <v>3563.6056538783928</v>
      </c>
      <c r="J22" s="167">
        <f>J$9/((1+'Q2 Base'!J19)^J$8)</f>
        <v>3916.2362156203308</v>
      </c>
      <c r="K22" s="167">
        <f>K$9/((1+'Q2 Base'!K19)^K$8)</f>
        <v>4233.5698335331872</v>
      </c>
      <c r="L22" s="167">
        <f>L$9/((1+'Q2 Base'!L19)^L$8)</f>
        <v>4441.7472991619597</v>
      </c>
      <c r="M22" s="48"/>
      <c r="N22" s="48"/>
      <c r="O22" s="168">
        <f t="shared" si="1"/>
        <v>28699.794724663123</v>
      </c>
      <c r="P22" s="170" t="str">
        <f t="shared" si="2"/>
        <v/>
      </c>
      <c r="R22" s="249"/>
      <c r="S22" s="249"/>
    </row>
    <row r="23" spans="2:19" x14ac:dyDescent="0.2">
      <c r="B23" s="6" t="s">
        <v>54</v>
      </c>
      <c r="C23" s="167">
        <f>C$9/((1+'Q2 Base'!C20)^C$8)</f>
        <v>979.54705744063949</v>
      </c>
      <c r="D23" s="167">
        <f>D$9/((1+'Q2 Base'!D20)^D$8)</f>
        <v>1440.2560463233294</v>
      </c>
      <c r="E23" s="167">
        <f>E$9/((1+'Q2 Base'!E20)^E$8)</f>
        <v>1885.1436336741256</v>
      </c>
      <c r="F23" s="167">
        <f>F$9/((1+'Q2 Base'!F20)^F$8)</f>
        <v>2328.9152469531732</v>
      </c>
      <c r="G23" s="167">
        <f>G$9/((1+'Q2 Base'!G20)^G$8)</f>
        <v>2777.5217413532505</v>
      </c>
      <c r="H23" s="167">
        <f>H$9/((1+'Q2 Base'!H20)^H$8)</f>
        <v>3182.6049926557675</v>
      </c>
      <c r="I23" s="167">
        <f>I$9/((1+'Q2 Base'!I20)^I$8)</f>
        <v>3589.9710649163208</v>
      </c>
      <c r="J23" s="167">
        <f>J$9/((1+'Q2 Base'!J20)^J$8)</f>
        <v>3953.6928106805358</v>
      </c>
      <c r="K23" s="167">
        <f>K$9/((1+'Q2 Base'!K20)^K$8)</f>
        <v>4277.206747383354</v>
      </c>
      <c r="L23" s="167">
        <f>L$9/((1+'Q2 Base'!L20)^L$8)</f>
        <v>4479.7512321378663</v>
      </c>
      <c r="M23" s="48"/>
      <c r="N23" s="48"/>
      <c r="O23" s="168">
        <f t="shared" si="1"/>
        <v>28894.610573518366</v>
      </c>
      <c r="P23" s="170" t="str">
        <f t="shared" si="2"/>
        <v/>
      </c>
    </row>
    <row r="24" spans="2:19" x14ac:dyDescent="0.2">
      <c r="B24" s="6" t="s">
        <v>55</v>
      </c>
      <c r="C24" s="167">
        <f>C$9/((1+'Q2 Base'!C21)^C$8)</f>
        <v>980.171137880674</v>
      </c>
      <c r="D24" s="167">
        <f>D$9/((1+'Q2 Base'!D21)^D$8)</f>
        <v>1441.5835688018817</v>
      </c>
      <c r="E24" s="167">
        <f>E$9/((1+'Q2 Base'!E21)^E$8)</f>
        <v>1890.2542779325697</v>
      </c>
      <c r="F24" s="167">
        <f>F$9/((1+'Q2 Base'!F21)^F$8)</f>
        <v>2334.965386207547</v>
      </c>
      <c r="G24" s="167">
        <f>G$9/((1+'Q2 Base'!G21)^G$8)</f>
        <v>2795.0924225044</v>
      </c>
      <c r="H24" s="167">
        <f>H$9/((1+'Q2 Base'!H21)^H$8)</f>
        <v>3200.7084647110159</v>
      </c>
      <c r="I24" s="167">
        <f>I$9/((1+'Q2 Base'!I21)^I$8)</f>
        <v>3603.6100835820916</v>
      </c>
      <c r="J24" s="167">
        <f>J$9/((1+'Q2 Base'!J21)^J$8)</f>
        <v>3996.5896789666322</v>
      </c>
      <c r="K24" s="167">
        <f>K$9/((1+'Q2 Base'!K21)^K$8)</f>
        <v>4351.3069665014173</v>
      </c>
      <c r="L24" s="167">
        <f>L$9/((1+'Q2 Base'!L21)^L$8)</f>
        <v>4582.85523145147</v>
      </c>
      <c r="M24" s="48"/>
      <c r="N24" s="48"/>
      <c r="O24" s="168">
        <f t="shared" si="1"/>
        <v>29177.137218539701</v>
      </c>
      <c r="P24" s="170" t="str">
        <f t="shared" si="2"/>
        <v/>
      </c>
    </row>
    <row r="25" spans="2:19" x14ac:dyDescent="0.2">
      <c r="B25" s="6" t="s">
        <v>56</v>
      </c>
      <c r="C25" s="167">
        <f>C$9/((1+'Q2 Base'!C22)^C$8)</f>
        <v>980.13270996892982</v>
      </c>
      <c r="D25" s="167">
        <f>D$9/((1+'Q2 Base'!D22)^D$8)</f>
        <v>1442.4884644072483</v>
      </c>
      <c r="E25" s="167">
        <f>E$9/((1+'Q2 Base'!E22)^E$8)</f>
        <v>1889.6978789493185</v>
      </c>
      <c r="F25" s="167">
        <f>F$9/((1+'Q2 Base'!F22)^F$8)</f>
        <v>2329.9222415077329</v>
      </c>
      <c r="G25" s="167">
        <f>G$9/((1+'Q2 Base'!G22)^G$8)</f>
        <v>2788.9000677599015</v>
      </c>
      <c r="H25" s="167">
        <f>H$9/((1+'Q2 Base'!H22)^H$8)</f>
        <v>3188.0611275284746</v>
      </c>
      <c r="I25" s="167">
        <f>I$9/((1+'Q2 Base'!I22)^I$8)</f>
        <v>3629.0613186641763</v>
      </c>
      <c r="J25" s="167">
        <f>J$9/((1+'Q2 Base'!J22)^J$8)</f>
        <v>4006.3687588712564</v>
      </c>
      <c r="K25" s="167">
        <f>K$9/((1+'Q2 Base'!K22)^K$8)</f>
        <v>4335.1444744889759</v>
      </c>
      <c r="L25" s="167">
        <f>L$9/((1+'Q2 Base'!L22)^L$8)</f>
        <v>4566.6866470266077</v>
      </c>
      <c r="M25" s="48"/>
      <c r="N25" s="48"/>
      <c r="O25" s="168">
        <f t="shared" si="1"/>
        <v>29156.463689172622</v>
      </c>
      <c r="P25" s="170" t="str">
        <f t="shared" si="2"/>
        <v/>
      </c>
    </row>
    <row r="26" spans="2:19" x14ac:dyDescent="0.2">
      <c r="B26" s="6" t="s">
        <v>57</v>
      </c>
      <c r="C26" s="167">
        <f>C$9/((1+'Q2 Base'!C23)^C$8)</f>
        <v>980.09428507022369</v>
      </c>
      <c r="D26" s="167">
        <f>D$9/((1+'Q2 Base'!D23)^D$8)</f>
        <v>1441.2727075857629</v>
      </c>
      <c r="E26" s="167">
        <f>E$9/((1+'Q2 Base'!E23)^E$8)</f>
        <v>1889.4753804993627</v>
      </c>
      <c r="F26" s="167">
        <f>F$9/((1+'Q2 Base'!F23)^F$8)</f>
        <v>2328.0917469401943</v>
      </c>
      <c r="G26" s="167">
        <f>G$9/((1+'Q2 Base'!G23)^G$8)</f>
        <v>2784.0951709263945</v>
      </c>
      <c r="H26" s="167">
        <f>H$9/((1+'Q2 Base'!H23)^H$8)</f>
        <v>3179.2239056229046</v>
      </c>
      <c r="I26" s="167">
        <f>I$9/((1+'Q2 Base'!I23)^I$8)</f>
        <v>3619.3057832475042</v>
      </c>
      <c r="J26" s="167">
        <f>J$9/((1+'Q2 Base'!J23)^J$8)</f>
        <v>3996.5896789666322</v>
      </c>
      <c r="K26" s="167">
        <f>K$9/((1+'Q2 Base'!K23)^K$8)</f>
        <v>4323.2578022637381</v>
      </c>
      <c r="L26" s="167">
        <f>L$9/((1+'Q2 Base'!L23)^L$8)</f>
        <v>4556.3895740070011</v>
      </c>
      <c r="M26" s="48"/>
      <c r="N26" s="48"/>
      <c r="O26" s="168">
        <f t="shared" si="1"/>
        <v>29097.796035129719</v>
      </c>
      <c r="P26" s="170" t="str">
        <f t="shared" si="2"/>
        <v/>
      </c>
    </row>
    <row r="27" spans="2:19" x14ac:dyDescent="0.2">
      <c r="B27" s="6" t="s">
        <v>58</v>
      </c>
      <c r="C27" s="167">
        <f>C$9/((1+'Q2 Base'!C24)^C$8)</f>
        <v>980.03665337083612</v>
      </c>
      <c r="D27" s="167">
        <f>D$9/((1+'Q2 Base'!D24)^D$8)</f>
        <v>1442.1207478378371</v>
      </c>
      <c r="E27" s="167">
        <f>E$9/((1+'Q2 Base'!E24)^E$8)</f>
        <v>1891.8690707301078</v>
      </c>
      <c r="F27" s="167">
        <f>F$9/((1+'Q2 Base'!F24)^F$8)</f>
        <v>2333.4968834255856</v>
      </c>
      <c r="G27" s="167">
        <f>G$9/((1+'Q2 Base'!G24)^G$8)</f>
        <v>2797.7119253207652</v>
      </c>
      <c r="H27" s="167">
        <f>H$9/((1+'Q2 Base'!H24)^H$8)</f>
        <v>3198.8170911839143</v>
      </c>
      <c r="I27" s="167">
        <f>I$9/((1+'Q2 Base'!I24)^I$8)</f>
        <v>3626.8073767118708</v>
      </c>
      <c r="J27" s="167">
        <f>J$9/((1+'Q2 Base'!J24)^J$8)</f>
        <v>4012.059285847135</v>
      </c>
      <c r="K27" s="167">
        <f>K$9/((1+'Q2 Base'!K24)^K$8)</f>
        <v>4362.8925945349347</v>
      </c>
      <c r="L27" s="167">
        <f>L$9/((1+'Q2 Base'!L24)^L$8)</f>
        <v>4591.4140303452632</v>
      </c>
      <c r="M27" s="48"/>
      <c r="N27" s="48"/>
      <c r="O27" s="168">
        <f t="shared" si="1"/>
        <v>29237.225659308246</v>
      </c>
      <c r="P27" s="170" t="str">
        <f t="shared" si="2"/>
        <v/>
      </c>
    </row>
    <row r="28" spans="2:19" x14ac:dyDescent="0.2">
      <c r="B28" s="6" t="s">
        <v>59</v>
      </c>
      <c r="C28" s="167">
        <f>C$9/((1+'Q2 Base'!C25)^C$8)</f>
        <v>979.95021852889886</v>
      </c>
      <c r="D28" s="167">
        <f>D$9/((1+'Q2 Base'!D25)^D$8)</f>
        <v>1441.7814419427505</v>
      </c>
      <c r="E28" s="167">
        <f>E$9/((1+'Q2 Base'!E25)^E$8)</f>
        <v>1890.1986282055466</v>
      </c>
      <c r="F28" s="167">
        <f>F$9/((1+'Q2 Base'!F25)^F$8)</f>
        <v>2331.9378639421125</v>
      </c>
      <c r="G28" s="167">
        <f>G$9/((1+'Q2 Base'!G25)^G$8)</f>
        <v>2801.4394462318674</v>
      </c>
      <c r="H28" s="167">
        <f>H$9/((1+'Q2 Base'!H25)^H$8)</f>
        <v>3192.396167506186</v>
      </c>
      <c r="I28" s="167">
        <f>I$9/((1+'Q2 Base'!I25)^I$8)</f>
        <v>3635.0796611261858</v>
      </c>
      <c r="J28" s="167">
        <f>J$9/((1+'Q2 Base'!J25)^J$8)</f>
        <v>4019.343751827485</v>
      </c>
      <c r="K28" s="167">
        <f>K$9/((1+'Q2 Base'!K25)^K$8)</f>
        <v>4374.5125076673075</v>
      </c>
      <c r="L28" s="167">
        <f>L$9/((1+'Q2 Base'!L25)^L$8)</f>
        <v>4579.7064149211274</v>
      </c>
      <c r="M28" s="48"/>
      <c r="N28" s="48"/>
      <c r="O28" s="168">
        <f t="shared" si="1"/>
        <v>29246.346101899464</v>
      </c>
      <c r="P28" s="170" t="str">
        <f t="shared" si="2"/>
        <v/>
      </c>
    </row>
    <row r="29" spans="2:19" x14ac:dyDescent="0.2">
      <c r="B29" s="6" t="s">
        <v>60</v>
      </c>
      <c r="C29" s="167">
        <f>C$9/((1+'Q2 Base'!C26)^C$8)</f>
        <v>980.01744431050884</v>
      </c>
      <c r="D29" s="167">
        <f>D$9/((1+'Q2 Base'!D26)^D$8)</f>
        <v>1441.7814419427505</v>
      </c>
      <c r="E29" s="167">
        <f>E$9/((1+'Q2 Base'!E26)^E$8)</f>
        <v>1887.6966497599331</v>
      </c>
      <c r="F29" s="167">
        <f>F$9/((1+'Q2 Base'!F26)^F$8)</f>
        <v>2330.380146225878</v>
      </c>
      <c r="G29" s="167">
        <f>G$9/((1+'Q2 Base'!G26)^G$8)</f>
        <v>2798.5397487039236</v>
      </c>
      <c r="H29" s="167">
        <f>H$9/((1+'Q2 Base'!H26)^H$8)</f>
        <v>3194.8494494352194</v>
      </c>
      <c r="I29" s="167">
        <f>I$9/((1+'Q2 Base'!I26)^I$8)</f>
        <v>3626.8073767118708</v>
      </c>
      <c r="J29" s="167">
        <f>J$9/((1+'Q2 Base'!J26)^J$8)</f>
        <v>4007.3165491488985</v>
      </c>
      <c r="K29" s="167">
        <f>K$9/((1+'Q2 Base'!K26)^K$8)</f>
        <v>4381.112386264097</v>
      </c>
      <c r="L29" s="167">
        <f>L$9/((1+'Q2 Base'!L26)^L$8)</f>
        <v>4612.6614350772215</v>
      </c>
      <c r="M29" s="48"/>
      <c r="N29" s="48"/>
      <c r="O29" s="168">
        <f t="shared" si="1"/>
        <v>29261.162627580303</v>
      </c>
      <c r="P29" s="170" t="str">
        <f t="shared" si="2"/>
        <v/>
      </c>
    </row>
    <row r="30" spans="2:19" x14ac:dyDescent="0.2">
      <c r="B30" s="6" t="s">
        <v>61</v>
      </c>
      <c r="C30" s="167">
        <f>C$9/((1+'Q2 Base'!C27)^C$8)</f>
        <v>979.97902844879127</v>
      </c>
      <c r="D30" s="167">
        <f>D$9/((1+'Q2 Base'!D27)^D$8)</f>
        <v>1442.0076325654334</v>
      </c>
      <c r="E30" s="167">
        <f>E$9/((1+'Q2 Base'!E27)^E$8)</f>
        <v>1890.3099298441416</v>
      </c>
      <c r="F30" s="167">
        <f>F$9/((1+'Q2 Base'!F27)^F$8)</f>
        <v>2332.946492528426</v>
      </c>
      <c r="G30" s="167">
        <f>G$9/((1+'Q2 Base'!G27)^G$8)</f>
        <v>2799.0917942596111</v>
      </c>
      <c r="H30" s="167">
        <f>H$9/((1+'Q2 Base'!H27)^H$8)</f>
        <v>3199.5734840806572</v>
      </c>
      <c r="I30" s="167">
        <f>I$9/((1+'Q2 Base'!I27)^I$8)</f>
        <v>3631.0661666318156</v>
      </c>
      <c r="J30" s="167">
        <f>J$9/((1+'Q2 Base'!J27)^J$8)</f>
        <v>4009.5290409154372</v>
      </c>
      <c r="K30" s="167">
        <f>K$9/((1+'Q2 Base'!K27)^K$8)</f>
        <v>4372.185776880001</v>
      </c>
      <c r="L30" s="167">
        <f>L$9/((1+'Q2 Base'!L27)^L$8)</f>
        <v>4618.5574554283685</v>
      </c>
      <c r="M30" s="48"/>
      <c r="N30" s="48"/>
      <c r="O30" s="168">
        <f t="shared" si="1"/>
        <v>29275.246801582682</v>
      </c>
      <c r="P30" s="170" t="str">
        <f t="shared" si="2"/>
        <v/>
      </c>
    </row>
  </sheetData>
  <mergeCells count="5">
    <mergeCell ref="C7:L7"/>
    <mergeCell ref="O8:O10"/>
    <mergeCell ref="P8:P10"/>
    <mergeCell ref="C10:L10"/>
    <mergeCell ref="R20:S22"/>
  </mergeCells>
  <printOptions gridLines="1"/>
  <pageMargins left="0.7" right="0.7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topLeftCell="C1" workbookViewId="0">
      <selection activeCell="E10" sqref="E10"/>
    </sheetView>
  </sheetViews>
  <sheetFormatPr defaultRowHeight="12.75" x14ac:dyDescent="0.2"/>
  <cols>
    <col min="1" max="1" width="9.140625" style="7"/>
    <col min="2" max="2" width="14.140625" style="7" customWidth="1"/>
    <col min="3" max="3" width="9" style="7" customWidth="1"/>
    <col min="4" max="7" width="9.28515625" style="7" bestFit="1" customWidth="1"/>
    <col min="8" max="8" width="10.140625" style="7" bestFit="1" customWidth="1"/>
    <col min="9" max="12" width="9.28515625" style="7" bestFit="1" customWidth="1"/>
    <col min="13" max="13" width="13.42578125" style="7" bestFit="1" customWidth="1"/>
    <col min="14" max="14" width="9.140625" style="7"/>
    <col min="15" max="15" width="3.5703125" style="7" customWidth="1"/>
    <col min="16" max="16" width="49.140625" style="7" bestFit="1" customWidth="1"/>
    <col min="17" max="16384" width="9.140625" style="7"/>
  </cols>
  <sheetData>
    <row r="2" spans="1:16" s="2" customFormat="1" ht="25.5" x14ac:dyDescent="0.35">
      <c r="A2" s="52" t="s">
        <v>98</v>
      </c>
    </row>
    <row r="4" spans="1:16" x14ac:dyDescent="0.2">
      <c r="B4" s="7" t="s">
        <v>99</v>
      </c>
      <c r="D4" s="58">
        <v>1.8873555407517149E-2</v>
      </c>
      <c r="E4" s="59" t="s">
        <v>10</v>
      </c>
      <c r="G4" s="60" t="s">
        <v>100</v>
      </c>
      <c r="H4" s="61">
        <f>MIN('Q2(iii)'!O11:O30)</f>
        <v>28669.713304753728</v>
      </c>
      <c r="I4" s="62" t="s">
        <v>10</v>
      </c>
    </row>
    <row r="5" spans="1:16" x14ac:dyDescent="0.2">
      <c r="D5" s="63"/>
      <c r="E5" s="43"/>
      <c r="G5" s="60"/>
      <c r="H5" s="48"/>
      <c r="I5" s="43"/>
    </row>
    <row r="6" spans="1:16" s="10" customFormat="1" x14ac:dyDescent="0.2">
      <c r="C6" s="238" t="s">
        <v>63</v>
      </c>
      <c r="D6" s="238"/>
      <c r="E6" s="238"/>
      <c r="F6" s="238"/>
      <c r="G6" s="238"/>
      <c r="H6" s="238"/>
      <c r="I6" s="238"/>
      <c r="J6" s="238"/>
      <c r="K6" s="238"/>
      <c r="L6" s="238"/>
      <c r="M6" s="43"/>
    </row>
    <row r="7" spans="1:16" x14ac:dyDescent="0.2">
      <c r="B7" s="50" t="s">
        <v>86</v>
      </c>
      <c r="C7" s="55">
        <v>1</v>
      </c>
      <c r="D7" s="55">
        <v>2</v>
      </c>
      <c r="E7" s="55">
        <v>3</v>
      </c>
      <c r="F7" s="55">
        <v>4</v>
      </c>
      <c r="G7" s="55">
        <v>5</v>
      </c>
      <c r="H7" s="55">
        <v>6</v>
      </c>
      <c r="I7" s="55">
        <v>7</v>
      </c>
      <c r="J7" s="55">
        <v>8</v>
      </c>
      <c r="K7" s="55">
        <v>9</v>
      </c>
      <c r="L7" s="55">
        <v>10</v>
      </c>
      <c r="M7" s="233" t="s">
        <v>87</v>
      </c>
      <c r="O7" s="9" t="s">
        <v>23</v>
      </c>
      <c r="P7" s="10"/>
    </row>
    <row r="8" spans="1:16" x14ac:dyDescent="0.2">
      <c r="B8" s="50" t="s">
        <v>89</v>
      </c>
      <c r="C8" s="64">
        <v>1000</v>
      </c>
      <c r="D8" s="64">
        <f t="shared" ref="D8:L8" si="0">$C8+500*(D7-1)</f>
        <v>1500</v>
      </c>
      <c r="E8" s="64">
        <f t="shared" si="0"/>
        <v>2000</v>
      </c>
      <c r="F8" s="64">
        <f t="shared" si="0"/>
        <v>2500</v>
      </c>
      <c r="G8" s="64">
        <f t="shared" si="0"/>
        <v>3000</v>
      </c>
      <c r="H8" s="64">
        <f t="shared" si="0"/>
        <v>3500</v>
      </c>
      <c r="I8" s="64">
        <f t="shared" si="0"/>
        <v>4000</v>
      </c>
      <c r="J8" s="64">
        <f t="shared" si="0"/>
        <v>4500</v>
      </c>
      <c r="K8" s="64">
        <f t="shared" si="0"/>
        <v>5000</v>
      </c>
      <c r="L8" s="64">
        <f t="shared" si="0"/>
        <v>5500</v>
      </c>
      <c r="M8" s="233"/>
      <c r="O8" s="24">
        <v>1</v>
      </c>
      <c r="P8" s="25" t="s">
        <v>101</v>
      </c>
    </row>
    <row r="9" spans="1:16" x14ac:dyDescent="0.2">
      <c r="B9" s="50" t="s">
        <v>40</v>
      </c>
      <c r="C9" s="248" t="s">
        <v>90</v>
      </c>
      <c r="D9" s="248"/>
      <c r="E9" s="248"/>
      <c r="F9" s="248"/>
      <c r="G9" s="248"/>
      <c r="H9" s="248"/>
      <c r="I9" s="248"/>
      <c r="J9" s="248"/>
      <c r="K9" s="248"/>
      <c r="L9" s="248"/>
      <c r="M9" s="233"/>
      <c r="O9" s="24">
        <v>1</v>
      </c>
      <c r="P9" s="25" t="s">
        <v>102</v>
      </c>
    </row>
    <row r="10" spans="1:16" x14ac:dyDescent="0.2">
      <c r="B10" s="50" t="s">
        <v>52</v>
      </c>
      <c r="C10" s="65">
        <f t="shared" ref="C10:L10" si="1">C$8/((1+$D$4)^C$7)</f>
        <v>981.47605725229721</v>
      </c>
      <c r="D10" s="65">
        <f t="shared" si="1"/>
        <v>1444.9428764392721</v>
      </c>
      <c r="E10" s="65">
        <f t="shared" si="1"/>
        <v>1890.9024497632131</v>
      </c>
      <c r="F10" s="65">
        <f t="shared" si="1"/>
        <v>2319.844351302886</v>
      </c>
      <c r="G10" s="65">
        <f t="shared" si="1"/>
        <v>2732.2460248269235</v>
      </c>
      <c r="H10" s="65">
        <f t="shared" si="1"/>
        <v>3128.5730652054563</v>
      </c>
      <c r="I10" s="65">
        <f t="shared" si="1"/>
        <v>3509.2794935583829</v>
      </c>
      <c r="J10" s="65">
        <f t="shared" si="1"/>
        <v>3874.808026275773</v>
      </c>
      <c r="K10" s="65">
        <f t="shared" si="1"/>
        <v>4225.5903380430009</v>
      </c>
      <c r="L10" s="65">
        <f t="shared" si="1"/>
        <v>4562.0473190004323</v>
      </c>
      <c r="M10" s="66">
        <f>SUM(C10:L10)</f>
        <v>28669.710001667641</v>
      </c>
      <c r="N10" s="43"/>
      <c r="O10" s="24">
        <v>1</v>
      </c>
      <c r="P10" s="25" t="s">
        <v>103</v>
      </c>
    </row>
    <row r="11" spans="1:16" x14ac:dyDescent="0.2">
      <c r="B11" s="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67"/>
      <c r="O11" s="26">
        <v>1</v>
      </c>
      <c r="P11" s="27" t="s">
        <v>104</v>
      </c>
    </row>
    <row r="12" spans="1:16" x14ac:dyDescent="0.2">
      <c r="B12" s="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67"/>
      <c r="O12" s="15">
        <v>1</v>
      </c>
      <c r="P12" s="28" t="s">
        <v>105</v>
      </c>
    </row>
    <row r="13" spans="1:16" x14ac:dyDescent="0.2">
      <c r="B13" s="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67"/>
      <c r="O13" s="9">
        <f>SUM(O7:O12)</f>
        <v>5</v>
      </c>
      <c r="P13" s="9" t="s">
        <v>36</v>
      </c>
    </row>
    <row r="14" spans="1:16" x14ac:dyDescent="0.2">
      <c r="B14" s="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7"/>
    </row>
    <row r="15" spans="1:16" x14ac:dyDescent="0.2">
      <c r="B15" s="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67"/>
    </row>
    <row r="16" spans="1:16" x14ac:dyDescent="0.2">
      <c r="B16" s="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7"/>
    </row>
    <row r="17" spans="2:13" x14ac:dyDescent="0.2">
      <c r="B17" s="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67"/>
    </row>
    <row r="18" spans="2:13" x14ac:dyDescent="0.2">
      <c r="B18" s="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7"/>
    </row>
    <row r="19" spans="2:13" x14ac:dyDescent="0.2">
      <c r="B19" s="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67"/>
    </row>
    <row r="20" spans="2:13" x14ac:dyDescent="0.2">
      <c r="B20" s="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7"/>
    </row>
    <row r="21" spans="2:13" x14ac:dyDescent="0.2">
      <c r="B21" s="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67"/>
    </row>
    <row r="22" spans="2:13" x14ac:dyDescent="0.2">
      <c r="B22" s="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67"/>
    </row>
    <row r="23" spans="2:13" x14ac:dyDescent="0.2">
      <c r="B23" s="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67"/>
    </row>
    <row r="24" spans="2:13" x14ac:dyDescent="0.2">
      <c r="B24" s="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67"/>
    </row>
    <row r="25" spans="2:13" x14ac:dyDescent="0.2">
      <c r="B25" s="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67"/>
    </row>
    <row r="26" spans="2:13" x14ac:dyDescent="0.2">
      <c r="B26" s="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67"/>
    </row>
    <row r="27" spans="2:13" x14ac:dyDescent="0.2">
      <c r="B27" s="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67"/>
    </row>
    <row r="28" spans="2:13" x14ac:dyDescent="0.2">
      <c r="B28" s="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67"/>
    </row>
    <row r="29" spans="2:13" x14ac:dyDescent="0.2">
      <c r="B29" s="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67"/>
    </row>
  </sheetData>
  <mergeCells count="3">
    <mergeCell ref="C6:L6"/>
    <mergeCell ref="M7:M9"/>
    <mergeCell ref="C9:L9"/>
  </mergeCells>
  <printOptions gridLines="1"/>
  <pageMargins left="0.7" right="0.7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N1" workbookViewId="0">
      <selection activeCell="N12" sqref="N12"/>
    </sheetView>
  </sheetViews>
  <sheetFormatPr defaultRowHeight="12.75" x14ac:dyDescent="0.2"/>
  <cols>
    <col min="1" max="1" width="8.28515625" style="7" customWidth="1"/>
    <col min="2" max="2" width="14.140625" style="7" customWidth="1"/>
    <col min="3" max="3" width="9" style="7" customWidth="1"/>
    <col min="4" max="6" width="9.42578125" style="7" bestFit="1" customWidth="1"/>
    <col min="7" max="12" width="10.140625" style="7" bestFit="1" customWidth="1"/>
    <col min="13" max="13" width="5.28515625" style="10" customWidth="1"/>
    <col min="14" max="14" width="15.140625" style="7" customWidth="1"/>
    <col min="15" max="15" width="2.28515625" style="7" customWidth="1"/>
    <col min="16" max="16" width="9.28515625" style="68" bestFit="1" customWidth="1"/>
    <col min="17" max="17" width="9.140625" style="7"/>
    <col min="18" max="18" width="4.140625" style="7" customWidth="1"/>
    <col min="19" max="19" width="42.28515625" style="7" bestFit="1" customWidth="1"/>
    <col min="20" max="16384" width="9.140625" style="7"/>
  </cols>
  <sheetData>
    <row r="1" spans="1:19" s="10" customFormat="1" x14ac:dyDescent="0.2">
      <c r="C1" s="239"/>
      <c r="D1" s="239"/>
      <c r="E1" s="239"/>
      <c r="F1" s="239"/>
      <c r="G1" s="239"/>
      <c r="H1" s="239"/>
      <c r="I1" s="239"/>
      <c r="J1" s="239"/>
      <c r="K1" s="239"/>
      <c r="L1" s="239"/>
      <c r="N1" s="43"/>
      <c r="O1" s="43"/>
      <c r="P1" s="68"/>
    </row>
    <row r="2" spans="1:19" s="2" customFormat="1" ht="25.5" x14ac:dyDescent="0.35">
      <c r="A2" s="52" t="s">
        <v>98</v>
      </c>
    </row>
    <row r="3" spans="1:19" s="10" customFormat="1" x14ac:dyDescent="0.2">
      <c r="C3" s="43"/>
      <c r="D3" s="43"/>
      <c r="E3" s="43"/>
      <c r="F3" s="43"/>
      <c r="G3" s="43"/>
      <c r="H3" s="43"/>
      <c r="I3" s="43"/>
      <c r="J3" s="43"/>
      <c r="K3" s="43"/>
      <c r="L3" s="43"/>
      <c r="N3" s="43"/>
      <c r="O3" s="43"/>
      <c r="P3" s="68"/>
    </row>
    <row r="4" spans="1:19" s="10" customFormat="1" x14ac:dyDescent="0.2">
      <c r="C4" s="69" t="s">
        <v>83</v>
      </c>
      <c r="D4" s="43"/>
      <c r="E4" s="43"/>
      <c r="F4" s="43"/>
      <c r="G4" s="43"/>
      <c r="H4" s="43"/>
      <c r="I4" s="43"/>
      <c r="J4" s="43"/>
      <c r="K4" s="43"/>
      <c r="L4" s="43"/>
      <c r="N4" s="43"/>
      <c r="O4" s="43"/>
      <c r="P4" s="68"/>
    </row>
    <row r="5" spans="1:19" s="10" customFormat="1" x14ac:dyDescent="0.2">
      <c r="B5" s="8" t="s">
        <v>106</v>
      </c>
      <c r="C5" s="70">
        <f>N13</f>
        <v>6.6292213095820225</v>
      </c>
      <c r="D5" s="71" t="s">
        <v>107</v>
      </c>
      <c r="E5" s="59" t="s">
        <v>10</v>
      </c>
      <c r="F5" s="43"/>
      <c r="G5" s="43"/>
      <c r="H5" s="43"/>
      <c r="I5" s="43"/>
      <c r="J5" s="43"/>
      <c r="K5" s="43"/>
      <c r="L5" s="43"/>
      <c r="N5" s="43"/>
      <c r="O5" s="43"/>
      <c r="P5" s="68"/>
    </row>
    <row r="6" spans="1:19" s="10" customFormat="1" x14ac:dyDescent="0.2">
      <c r="B6" s="8"/>
      <c r="C6" s="43"/>
      <c r="D6" s="43"/>
      <c r="E6" s="43"/>
      <c r="F6" s="43"/>
      <c r="G6" s="43"/>
      <c r="H6" s="43"/>
      <c r="I6" s="43"/>
      <c r="J6" s="43"/>
      <c r="K6" s="43"/>
      <c r="L6" s="43"/>
      <c r="N6" s="43"/>
      <c r="O6" s="43"/>
      <c r="P6" s="68"/>
    </row>
    <row r="7" spans="1:19" s="10" customFormat="1" x14ac:dyDescent="0.2">
      <c r="B7" s="8"/>
      <c r="C7" s="250" t="s">
        <v>13</v>
      </c>
      <c r="D7" s="250"/>
      <c r="E7" s="250"/>
      <c r="F7" s="250"/>
      <c r="G7" s="250"/>
      <c r="H7" s="250"/>
      <c r="I7" s="250"/>
      <c r="J7" s="250"/>
      <c r="K7" s="250"/>
      <c r="L7" s="250"/>
      <c r="N7" s="43"/>
      <c r="O7" s="43"/>
      <c r="P7" s="68"/>
    </row>
    <row r="8" spans="1:19" x14ac:dyDescent="0.2">
      <c r="B8" s="21" t="s">
        <v>86</v>
      </c>
      <c r="C8" s="21">
        <v>1</v>
      </c>
      <c r="D8" s="21">
        <v>2</v>
      </c>
      <c r="E8" s="21">
        <v>3</v>
      </c>
      <c r="F8" s="21">
        <v>4</v>
      </c>
      <c r="G8" s="21">
        <v>5</v>
      </c>
      <c r="H8" s="21">
        <v>6</v>
      </c>
      <c r="I8" s="21">
        <v>7</v>
      </c>
      <c r="J8" s="21">
        <v>8</v>
      </c>
      <c r="K8" s="21">
        <v>9</v>
      </c>
      <c r="L8" s="21">
        <v>10</v>
      </c>
      <c r="N8" s="21" t="s">
        <v>108</v>
      </c>
      <c r="O8" s="43"/>
      <c r="R8" s="9" t="s">
        <v>23</v>
      </c>
      <c r="S8" s="10"/>
    </row>
    <row r="9" spans="1:19" x14ac:dyDescent="0.2">
      <c r="A9" s="72" t="s">
        <v>109</v>
      </c>
      <c r="B9" s="50" t="s">
        <v>90</v>
      </c>
      <c r="C9" s="64">
        <f>'Q2(iii)'!C21</f>
        <v>979.04836498923044</v>
      </c>
      <c r="D9" s="64">
        <f>'Q2(iii)'!D21</f>
        <v>1439.6352827974558</v>
      </c>
      <c r="E9" s="64">
        <f>'Q2(iii)'!E21</f>
        <v>1882.1524857524273</v>
      </c>
      <c r="F9" s="64">
        <f>'Q2(iii)'!F21</f>
        <v>2320.14998189577</v>
      </c>
      <c r="G9" s="64">
        <f>'Q2(iii)'!G21</f>
        <v>2761.576872432111</v>
      </c>
      <c r="H9" s="64">
        <f>'Q2(iii)'!H21</f>
        <v>3157.5349252543233</v>
      </c>
      <c r="I9" s="64">
        <f>'Q2(iii)'!I21</f>
        <v>3569.7459283695116</v>
      </c>
      <c r="J9" s="64">
        <f>'Q2(iii)'!J21</f>
        <v>3924.2509433545547</v>
      </c>
      <c r="K9" s="64">
        <f>'Q2(iii)'!K21</f>
        <v>4219.0100941367964</v>
      </c>
      <c r="L9" s="64">
        <f>'Q2(iii)'!L21</f>
        <v>4416.6084257715438</v>
      </c>
      <c r="M9" s="73"/>
      <c r="N9" s="56">
        <f>SUM(C9:L9)</f>
        <v>28669.713304753728</v>
      </c>
      <c r="O9" s="43"/>
      <c r="P9" s="62" t="s">
        <v>10</v>
      </c>
      <c r="R9" s="24">
        <v>1</v>
      </c>
      <c r="S9" s="25" t="s">
        <v>110</v>
      </c>
    </row>
    <row r="10" spans="1:19" x14ac:dyDescent="0.2">
      <c r="B10" s="50" t="s">
        <v>111</v>
      </c>
      <c r="C10" s="65">
        <f t="shared" ref="C10:L10" si="0">C9*C8</f>
        <v>979.04836498923044</v>
      </c>
      <c r="D10" s="65">
        <f t="shared" si="0"/>
        <v>2879.2705655949117</v>
      </c>
      <c r="E10" s="65">
        <f t="shared" si="0"/>
        <v>5646.4574572572819</v>
      </c>
      <c r="F10" s="65">
        <f t="shared" si="0"/>
        <v>9280.59992758308</v>
      </c>
      <c r="G10" s="65">
        <f t="shared" si="0"/>
        <v>13807.884362160556</v>
      </c>
      <c r="H10" s="65">
        <f t="shared" si="0"/>
        <v>18945.209551525939</v>
      </c>
      <c r="I10" s="65">
        <f t="shared" si="0"/>
        <v>24988.221498586579</v>
      </c>
      <c r="J10" s="65">
        <f t="shared" si="0"/>
        <v>31394.007546836438</v>
      </c>
      <c r="K10" s="65">
        <f t="shared" si="0"/>
        <v>37971.090847231171</v>
      </c>
      <c r="L10" s="65">
        <f t="shared" si="0"/>
        <v>44166.08425771544</v>
      </c>
      <c r="M10" s="73"/>
      <c r="N10" s="56">
        <f>SUM(C10:L10)</f>
        <v>190057.87437948064</v>
      </c>
      <c r="O10" s="43"/>
      <c r="P10" s="62" t="s">
        <v>10</v>
      </c>
      <c r="R10" s="24">
        <v>1</v>
      </c>
      <c r="S10" s="25" t="s">
        <v>112</v>
      </c>
    </row>
    <row r="11" spans="1:19" x14ac:dyDescent="0.2">
      <c r="B11" s="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74"/>
      <c r="N11" s="67"/>
      <c r="O11" s="43"/>
      <c r="R11" s="26">
        <v>1</v>
      </c>
      <c r="S11" s="27" t="s">
        <v>113</v>
      </c>
    </row>
    <row r="12" spans="1:19" x14ac:dyDescent="0.2">
      <c r="B12" s="4"/>
      <c r="C12" s="48"/>
      <c r="D12" s="48"/>
      <c r="E12" s="48"/>
      <c r="F12" s="48"/>
      <c r="G12" s="48"/>
      <c r="H12" s="48"/>
      <c r="I12" s="48"/>
      <c r="J12" s="48"/>
      <c r="K12" s="48"/>
      <c r="M12" s="74"/>
      <c r="N12" s="75" t="s">
        <v>114</v>
      </c>
      <c r="O12" s="43"/>
      <c r="R12" s="26">
        <v>1</v>
      </c>
      <c r="S12" s="27" t="s">
        <v>115</v>
      </c>
    </row>
    <row r="13" spans="1:19" x14ac:dyDescent="0.2">
      <c r="B13" s="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74"/>
      <c r="N13" s="76">
        <f>N10/N9</f>
        <v>6.6292213095820225</v>
      </c>
      <c r="O13" s="113"/>
      <c r="R13" s="15">
        <v>1</v>
      </c>
      <c r="S13" s="28" t="s">
        <v>116</v>
      </c>
    </row>
    <row r="14" spans="1:19" x14ac:dyDescent="0.2">
      <c r="B14" s="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74"/>
      <c r="N14" s="67"/>
      <c r="O14" s="67"/>
      <c r="R14" s="9">
        <f>SUM(R8:R13)</f>
        <v>5</v>
      </c>
      <c r="S14" s="9" t="s">
        <v>36</v>
      </c>
    </row>
    <row r="15" spans="1:19" x14ac:dyDescent="0.2">
      <c r="B15" s="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74"/>
      <c r="N15" s="67"/>
      <c r="O15" s="67"/>
    </row>
    <row r="16" spans="1:19" x14ac:dyDescent="0.2">
      <c r="B16" s="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74"/>
      <c r="N16" s="67"/>
      <c r="O16" s="67"/>
    </row>
    <row r="17" spans="2:15" x14ac:dyDescent="0.2">
      <c r="B17" s="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74"/>
      <c r="N17" s="67"/>
      <c r="O17" s="67"/>
    </row>
    <row r="18" spans="2:15" x14ac:dyDescent="0.2">
      <c r="B18" s="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74"/>
      <c r="N18" s="67"/>
      <c r="O18" s="67"/>
    </row>
    <row r="19" spans="2:15" x14ac:dyDescent="0.2">
      <c r="B19" s="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74"/>
      <c r="N19" s="67"/>
      <c r="O19" s="67"/>
    </row>
    <row r="20" spans="2:15" x14ac:dyDescent="0.2">
      <c r="B20" s="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74"/>
      <c r="N20" s="67"/>
      <c r="O20" s="67"/>
    </row>
    <row r="21" spans="2:15" x14ac:dyDescent="0.2">
      <c r="B21" s="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74"/>
      <c r="N21" s="67"/>
      <c r="O21" s="67"/>
    </row>
    <row r="22" spans="2:15" x14ac:dyDescent="0.2">
      <c r="B22" s="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74"/>
      <c r="N22" s="67"/>
      <c r="O22" s="67"/>
    </row>
    <row r="23" spans="2:15" x14ac:dyDescent="0.2">
      <c r="B23" s="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74"/>
      <c r="N23" s="67"/>
      <c r="O23" s="67"/>
    </row>
    <row r="24" spans="2:15" x14ac:dyDescent="0.2">
      <c r="B24" s="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74"/>
      <c r="N24" s="67"/>
      <c r="O24" s="67"/>
    </row>
    <row r="25" spans="2:15" x14ac:dyDescent="0.2">
      <c r="B25" s="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74"/>
      <c r="N25" s="67"/>
      <c r="O25" s="67"/>
    </row>
    <row r="26" spans="2:15" x14ac:dyDescent="0.2">
      <c r="B26" s="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74"/>
      <c r="N26" s="67"/>
      <c r="O26" s="67"/>
    </row>
    <row r="27" spans="2:15" x14ac:dyDescent="0.2">
      <c r="B27" s="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74"/>
      <c r="N27" s="67"/>
      <c r="O27" s="67"/>
    </row>
    <row r="28" spans="2:15" x14ac:dyDescent="0.2">
      <c r="B28" s="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74"/>
      <c r="N28" s="67"/>
      <c r="O28" s="67"/>
    </row>
  </sheetData>
  <mergeCells count="2">
    <mergeCell ref="C1:L1"/>
    <mergeCell ref="C7:L7"/>
  </mergeCells>
  <printOptions gridLines="1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d62bfbc-6384-49a2-9d55-8634354e8427" origin="userSelected">
  <element uid="6ced356a-e7c9-40ae-aea2-3a1b75dc4697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6D43E8-007F-4130-9D65-93FAEE1D93E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779C6CB8-2C46-441F-A7C6-A6FE4C679528}"/>
</file>

<file path=customXml/itemProps3.xml><?xml version="1.0" encoding="utf-8"?>
<ds:datastoreItem xmlns:ds="http://schemas.openxmlformats.org/officeDocument/2006/customXml" ds:itemID="{9D4AF1FD-52C1-4241-AD04-2927054B5C11}"/>
</file>

<file path=customXml/itemProps4.xml><?xml version="1.0" encoding="utf-8"?>
<ds:datastoreItem xmlns:ds="http://schemas.openxmlformats.org/officeDocument/2006/customXml" ds:itemID="{3B6B47F0-E04F-4CBD-8A42-08286AFB8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Q1 Base</vt:lpstr>
      <vt:lpstr>Q1</vt:lpstr>
      <vt:lpstr>Q1 Answers</vt:lpstr>
      <vt:lpstr>Q2 Base</vt:lpstr>
      <vt:lpstr>Q2(i)</vt:lpstr>
      <vt:lpstr>Q2(ii)</vt:lpstr>
      <vt:lpstr>Q2(iii)</vt:lpstr>
      <vt:lpstr>Q2(iv)</vt:lpstr>
      <vt:lpstr>Q2(v)</vt:lpstr>
      <vt:lpstr>Q2 Answers</vt:lpstr>
      <vt:lpstr>Q3 Valuation Basis</vt:lpstr>
      <vt:lpstr>Q3 Profit Test Basis</vt:lpstr>
      <vt:lpstr>Q3(i)</vt:lpstr>
      <vt:lpstr>Q3(ii)</vt:lpstr>
      <vt:lpstr>Q3(iii)</vt:lpstr>
      <vt:lpstr>Q3 Answers</vt:lpstr>
      <vt:lpstr>i</vt:lpstr>
      <vt:lpstr>ival</vt:lpstr>
      <vt:lpstr>RDR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Ruddle, Adam</dc:creator>
  <cp:keywords>[xyzPublicx]</cp:keywords>
  <cp:lastModifiedBy>Ciara Trainor</cp:lastModifiedBy>
  <dcterms:created xsi:type="dcterms:W3CDTF">2021-02-04T08:02:57Z</dcterms:created>
  <dcterms:modified xsi:type="dcterms:W3CDTF">2021-07-09T08:12:03Z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6d518aa7-c41c-462a-80d9-1db3d55154eb</vt:lpwstr>
  </property>
  <property fmtid="{D5CDD505-2E9C-101B-9397-08002B2CF9AE}" pid="3" name="bjSaver">
    <vt:lpwstr>LEgPfHzmlmwqagOUCrI1x9YoENEO7fqD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policy="9d62bfbc-6384-49a2-9d55-8634354e8427" origin="userSelected" xmlns="http://www.boldonj</vt:lpwstr>
  </property>
  <property fmtid="{D5CDD505-2E9C-101B-9397-08002B2CF9AE}" pid="5" name="bjDocumentLabelXML-0">
    <vt:lpwstr>ames.com/2008/01/sie/internal/label"&gt;&lt;element uid="6ced356a-e7c9-40ae-aea2-3a1b75dc4697" value="" /&gt;&lt;/sisl&gt;</vt:lpwstr>
  </property>
  <property fmtid="{D5CDD505-2E9C-101B-9397-08002B2CF9AE}" pid="6" name="bjDocumentSecurityLabel">
    <vt:lpwstr>Public</vt:lpwstr>
  </property>
  <property fmtid="{D5CDD505-2E9C-101B-9397-08002B2CF9AE}" pid="7" name="LV-Classification">
    <vt:lpwstr>Public</vt:lpwstr>
  </property>
  <property fmtid="{D5CDD505-2E9C-101B-9397-08002B2CF9AE}" pid="8" name="ContentTypeId">
    <vt:lpwstr>0x01010027FBD0687CCFA64A90892C425F7C4312</vt:lpwstr>
  </property>
</Properties>
</file>