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F5AD60F9-9E48-40A8-8359-C13489AE47B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rameters" sheetId="2" r:id="rId1"/>
    <sheet name="Ages of children &amp; diapers used" sheetId="3" r:id="rId2"/>
    <sheet name="Projection_15 hours" sheetId="4" r:id="rId3"/>
    <sheet name="Projection_30 hours" sheetId="6" r:id="rId4"/>
    <sheet name="Additional activities" sheetId="8" r:id="rId5"/>
    <sheet name="Chart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1" i="6" l="1"/>
  <c r="B12" i="2"/>
  <c r="Q31" i="4" l="1"/>
  <c r="M6" i="8" l="1"/>
  <c r="K6" i="6"/>
  <c r="L6" i="4"/>
  <c r="F32" i="3" l="1"/>
  <c r="E32" i="3"/>
  <c r="D32" i="3"/>
  <c r="C32" i="3"/>
  <c r="K6" i="4" l="1"/>
  <c r="I2" i="8" l="1"/>
  <c r="B2" i="8"/>
  <c r="B3" i="8" s="1"/>
  <c r="D34" i="7" s="1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D7" i="8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L6" i="8"/>
  <c r="B1" i="8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M4" i="3"/>
  <c r="L4" i="3"/>
  <c r="G6" i="8" s="1"/>
  <c r="K4" i="3"/>
  <c r="F6" i="8" s="1"/>
  <c r="J4" i="3"/>
  <c r="I4" i="3"/>
  <c r="B33" i="7"/>
  <c r="C33" i="7" s="1"/>
  <c r="B2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D7" i="6"/>
  <c r="K7" i="6" s="1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B7" i="6"/>
  <c r="B8" i="6" s="1"/>
  <c r="B9" i="6" s="1"/>
  <c r="J6" i="6"/>
  <c r="B34" i="7" l="1"/>
  <c r="C34" i="7"/>
  <c r="B3" i="6"/>
  <c r="D8" i="8"/>
  <c r="M8" i="8" s="1"/>
  <c r="M7" i="8"/>
  <c r="E6" i="8"/>
  <c r="J6" i="8" s="1"/>
  <c r="O4" i="3"/>
  <c r="N4" i="3"/>
  <c r="I6" i="4" s="1"/>
  <c r="B22" i="8"/>
  <c r="B23" i="8" s="1"/>
  <c r="B24" i="8" s="1"/>
  <c r="B25" i="8" s="1"/>
  <c r="B26" i="8" s="1"/>
  <c r="B27" i="8" s="1"/>
  <c r="B28" i="8" s="1"/>
  <c r="B29" i="8" s="1"/>
  <c r="D21" i="8"/>
  <c r="M21" i="8" s="1"/>
  <c r="D9" i="8"/>
  <c r="M9" i="8" s="1"/>
  <c r="D8" i="6"/>
  <c r="K8" i="6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D9" i="6"/>
  <c r="K9" i="6" s="1"/>
  <c r="C38" i="2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H6" i="8" l="1"/>
  <c r="D33" i="7"/>
  <c r="K6" i="8"/>
  <c r="I6" i="8"/>
  <c r="D22" i="8"/>
  <c r="M22" i="8" s="1"/>
  <c r="D10" i="8"/>
  <c r="M10" i="8" s="1"/>
  <c r="D10" i="6"/>
  <c r="K10" i="6" s="1"/>
  <c r="B22" i="6"/>
  <c r="B23" i="6" s="1"/>
  <c r="B24" i="6" s="1"/>
  <c r="B25" i="6" s="1"/>
  <c r="B26" i="6" s="1"/>
  <c r="B27" i="6" s="1"/>
  <c r="B28" i="6" s="1"/>
  <c r="B29" i="6" s="1"/>
  <c r="D21" i="6"/>
  <c r="K21" i="6" s="1"/>
  <c r="N6" i="8" l="1"/>
  <c r="O6" i="8" s="1"/>
  <c r="D11" i="8"/>
  <c r="M11" i="8" s="1"/>
  <c r="D23" i="8"/>
  <c r="M23" i="8" s="1"/>
  <c r="D11" i="6"/>
  <c r="K11" i="6" s="1"/>
  <c r="D22" i="6"/>
  <c r="K22" i="6" s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D7" i="4"/>
  <c r="L7" i="4" s="1"/>
  <c r="B7" i="4"/>
  <c r="B8" i="4" s="1"/>
  <c r="B9" i="4" s="1"/>
  <c r="D9" i="4" s="1"/>
  <c r="D8" i="4" l="1"/>
  <c r="L8" i="4" s="1"/>
  <c r="D24" i="8"/>
  <c r="M24" i="8" s="1"/>
  <c r="D12" i="8"/>
  <c r="M12" i="8" s="1"/>
  <c r="D23" i="6"/>
  <c r="K23" i="6" s="1"/>
  <c r="D12" i="6"/>
  <c r="K12" i="6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L9" i="4"/>
  <c r="D25" i="8" l="1"/>
  <c r="M25" i="8" s="1"/>
  <c r="D13" i="8"/>
  <c r="M13" i="8" s="1"/>
  <c r="D24" i="6"/>
  <c r="K24" i="6" s="1"/>
  <c r="D13" i="6"/>
  <c r="K13" i="6" s="1"/>
  <c r="D10" i="4"/>
  <c r="L10" i="4" s="1"/>
  <c r="B22" i="4"/>
  <c r="B23" i="4" s="1"/>
  <c r="B24" i="4" s="1"/>
  <c r="B25" i="4" s="1"/>
  <c r="B26" i="4" s="1"/>
  <c r="B27" i="4" s="1"/>
  <c r="B28" i="4" s="1"/>
  <c r="B29" i="4" s="1"/>
  <c r="D21" i="4"/>
  <c r="L21" i="4" s="1"/>
  <c r="B1" i="4"/>
  <c r="B32" i="7" s="1"/>
  <c r="C32" i="7" s="1"/>
  <c r="B2" i="4"/>
  <c r="B3" i="4" s="1"/>
  <c r="D32" i="7" s="1"/>
  <c r="F5" i="3"/>
  <c r="F6" i="3" s="1"/>
  <c r="F7" i="3" s="1"/>
  <c r="F8" i="3" s="1"/>
  <c r="F9" i="3" s="1"/>
  <c r="E5" i="3"/>
  <c r="E6" i="3" s="1"/>
  <c r="E7" i="3" s="1"/>
  <c r="E8" i="3" s="1"/>
  <c r="E9" i="3" s="1"/>
  <c r="D5" i="3"/>
  <c r="C5" i="3"/>
  <c r="C6" i="3" s="1"/>
  <c r="C7" i="3" s="1"/>
  <c r="C8" i="3" s="1"/>
  <c r="C9" i="3" s="1"/>
  <c r="B5" i="3"/>
  <c r="I5" i="3" s="1"/>
  <c r="F10" i="3" l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33" i="3"/>
  <c r="F36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33" i="3"/>
  <c r="E36" i="3" s="1"/>
  <c r="C10" i="3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33" i="3"/>
  <c r="C36" i="3" s="1"/>
  <c r="D26" i="8"/>
  <c r="M26" i="8" s="1"/>
  <c r="D14" i="8"/>
  <c r="M14" i="8" s="1"/>
  <c r="D14" i="6"/>
  <c r="K14" i="6" s="1"/>
  <c r="D25" i="6"/>
  <c r="K25" i="6" s="1"/>
  <c r="D11" i="4"/>
  <c r="L11" i="4" s="1"/>
  <c r="D22" i="4"/>
  <c r="L22" i="4" s="1"/>
  <c r="D6" i="3"/>
  <c r="B6" i="3"/>
  <c r="I6" i="3" s="1"/>
  <c r="E6" i="6"/>
  <c r="M5" i="3"/>
  <c r="M6" i="3" s="1"/>
  <c r="M7" i="3" s="1"/>
  <c r="M8" i="3" s="1"/>
  <c r="K5" i="3"/>
  <c r="F7" i="8" s="1"/>
  <c r="E22" i="3" l="1"/>
  <c r="E23" i="3" s="1"/>
  <c r="E24" i="3" s="1"/>
  <c r="E25" i="3" s="1"/>
  <c r="E26" i="3" s="1"/>
  <c r="E27" i="3" s="1"/>
  <c r="E34" i="3"/>
  <c r="E37" i="3" s="1"/>
  <c r="C22" i="3"/>
  <c r="C23" i="3" s="1"/>
  <c r="C24" i="3" s="1"/>
  <c r="C25" i="3" s="1"/>
  <c r="C26" i="3" s="1"/>
  <c r="C27" i="3" s="1"/>
  <c r="C34" i="3"/>
  <c r="C37" i="3" s="1"/>
  <c r="F22" i="3"/>
  <c r="F23" i="3" s="1"/>
  <c r="F24" i="3" s="1"/>
  <c r="F25" i="3" s="1"/>
  <c r="F26" i="3" s="1"/>
  <c r="F27" i="3" s="1"/>
  <c r="F34" i="3"/>
  <c r="F37" i="3" s="1"/>
  <c r="D15" i="8"/>
  <c r="M15" i="8" s="1"/>
  <c r="D27" i="8"/>
  <c r="M27" i="8" s="1"/>
  <c r="F6" i="6"/>
  <c r="G6" i="6" s="1"/>
  <c r="D26" i="6"/>
  <c r="K26" i="6" s="1"/>
  <c r="D15" i="6"/>
  <c r="K15" i="6" s="1"/>
  <c r="D12" i="4"/>
  <c r="L12" i="4" s="1"/>
  <c r="D23" i="4"/>
  <c r="L23" i="4" s="1"/>
  <c r="B7" i="3"/>
  <c r="D7" i="3"/>
  <c r="D8" i="3" s="1"/>
  <c r="D9" i="3" s="1"/>
  <c r="K6" i="3"/>
  <c r="F8" i="8" s="1"/>
  <c r="J5" i="3"/>
  <c r="F6" i="4"/>
  <c r="L5" i="3"/>
  <c r="E6" i="4"/>
  <c r="G6" i="4" l="1"/>
  <c r="O5" i="3"/>
  <c r="P5" i="3" s="1"/>
  <c r="H6" i="4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33" i="3"/>
  <c r="D36" i="3" s="1"/>
  <c r="B8" i="3"/>
  <c r="I7" i="3"/>
  <c r="J6" i="3"/>
  <c r="E8" i="8" s="1"/>
  <c r="N5" i="3"/>
  <c r="I7" i="4" s="1"/>
  <c r="E7" i="8"/>
  <c r="F7" i="6"/>
  <c r="G7" i="8"/>
  <c r="D28" i="8"/>
  <c r="M28" i="8" s="1"/>
  <c r="D16" i="8"/>
  <c r="M16" i="8" s="1"/>
  <c r="E7" i="6"/>
  <c r="I6" i="6"/>
  <c r="H6" i="6"/>
  <c r="J6" i="4"/>
  <c r="D16" i="6"/>
  <c r="K16" i="6" s="1"/>
  <c r="D27" i="6"/>
  <c r="K27" i="6" s="1"/>
  <c r="D24" i="4"/>
  <c r="L24" i="4" s="1"/>
  <c r="D13" i="4"/>
  <c r="L13" i="4" s="1"/>
  <c r="K7" i="3"/>
  <c r="L6" i="3"/>
  <c r="F7" i="4"/>
  <c r="E7" i="4"/>
  <c r="L6" i="6" l="1"/>
  <c r="M6" i="4"/>
  <c r="G7" i="6"/>
  <c r="G7" i="4"/>
  <c r="I8" i="3"/>
  <c r="D22" i="3"/>
  <c r="D23" i="3" s="1"/>
  <c r="D24" i="3" s="1"/>
  <c r="D25" i="3" s="1"/>
  <c r="D26" i="3" s="1"/>
  <c r="D27" i="3" s="1"/>
  <c r="D34" i="3"/>
  <c r="D37" i="3" s="1"/>
  <c r="O6" i="3"/>
  <c r="P6" i="3" s="1"/>
  <c r="B9" i="3"/>
  <c r="B10" i="3" s="1"/>
  <c r="E8" i="4"/>
  <c r="E8" i="6"/>
  <c r="J7" i="3"/>
  <c r="N6" i="3"/>
  <c r="F8" i="6"/>
  <c r="G8" i="8"/>
  <c r="J8" i="8" s="1"/>
  <c r="I7" i="8"/>
  <c r="K7" i="8"/>
  <c r="K8" i="3"/>
  <c r="F9" i="8"/>
  <c r="H7" i="8"/>
  <c r="J7" i="8"/>
  <c r="D17" i="8"/>
  <c r="M17" i="8" s="1"/>
  <c r="D29" i="8"/>
  <c r="M29" i="8" s="1"/>
  <c r="I7" i="6"/>
  <c r="H7" i="6"/>
  <c r="J7" i="4"/>
  <c r="D28" i="6"/>
  <c r="K28" i="6" s="1"/>
  <c r="D17" i="6"/>
  <c r="K17" i="6" s="1"/>
  <c r="D14" i="4"/>
  <c r="L14" i="4" s="1"/>
  <c r="D25" i="4"/>
  <c r="L25" i="4" s="1"/>
  <c r="H7" i="4"/>
  <c r="L7" i="3"/>
  <c r="O7" i="3" s="1"/>
  <c r="P7" i="3" s="1"/>
  <c r="F8" i="4"/>
  <c r="C3" i="7" l="1"/>
  <c r="M6" i="6"/>
  <c r="N6" i="6" s="1"/>
  <c r="N6" i="4"/>
  <c r="Q6" i="4" s="1"/>
  <c r="B3" i="7"/>
  <c r="N7" i="8"/>
  <c r="O7" i="8" s="1"/>
  <c r="L7" i="6"/>
  <c r="M7" i="4"/>
  <c r="G8" i="4"/>
  <c r="H8" i="4"/>
  <c r="G8" i="6"/>
  <c r="H8" i="8"/>
  <c r="I9" i="3"/>
  <c r="I10" i="3" s="1"/>
  <c r="B33" i="3"/>
  <c r="B36" i="3" s="1"/>
  <c r="E9" i="4"/>
  <c r="E9" i="6"/>
  <c r="E9" i="8"/>
  <c r="J8" i="3"/>
  <c r="E10" i="4" s="1"/>
  <c r="N7" i="3"/>
  <c r="L9" i="3"/>
  <c r="F10" i="8"/>
  <c r="F9" i="6"/>
  <c r="G9" i="8"/>
  <c r="I8" i="8"/>
  <c r="K8" i="8"/>
  <c r="D18" i="8"/>
  <c r="M18" i="8" s="1"/>
  <c r="H8" i="6"/>
  <c r="I8" i="6"/>
  <c r="J8" i="4"/>
  <c r="J9" i="3"/>
  <c r="D18" i="6"/>
  <c r="K18" i="6" s="1"/>
  <c r="D29" i="6"/>
  <c r="K29" i="6" s="1"/>
  <c r="D26" i="4"/>
  <c r="L26" i="4" s="1"/>
  <c r="D15" i="4"/>
  <c r="L15" i="4" s="1"/>
  <c r="I8" i="4"/>
  <c r="L8" i="3"/>
  <c r="F9" i="4"/>
  <c r="B11" i="3"/>
  <c r="C4" i="7" l="1"/>
  <c r="M7" i="6"/>
  <c r="N7" i="6" s="1"/>
  <c r="N7" i="4"/>
  <c r="Q7" i="4" s="1"/>
  <c r="R6" i="4" s="1"/>
  <c r="B4" i="7"/>
  <c r="O6" i="4"/>
  <c r="N8" i="8"/>
  <c r="O8" i="8" s="1"/>
  <c r="L8" i="6"/>
  <c r="M8" i="4"/>
  <c r="G9" i="6"/>
  <c r="G9" i="4"/>
  <c r="E10" i="8"/>
  <c r="H9" i="4"/>
  <c r="E10" i="6"/>
  <c r="I11" i="3"/>
  <c r="O8" i="3"/>
  <c r="P8" i="3" s="1"/>
  <c r="J9" i="8"/>
  <c r="J10" i="3"/>
  <c r="J11" i="3" s="1"/>
  <c r="J12" i="3" s="1"/>
  <c r="J13" i="3" s="1"/>
  <c r="N8" i="3"/>
  <c r="K10" i="8" s="1"/>
  <c r="K9" i="3"/>
  <c r="H9" i="8"/>
  <c r="L10" i="3"/>
  <c r="F10" i="6"/>
  <c r="G10" i="8"/>
  <c r="I9" i="8"/>
  <c r="K9" i="8"/>
  <c r="D19" i="8"/>
  <c r="M19" i="8" s="1"/>
  <c r="H9" i="6"/>
  <c r="I9" i="6"/>
  <c r="J9" i="4"/>
  <c r="D19" i="6"/>
  <c r="K19" i="6" s="1"/>
  <c r="D16" i="4"/>
  <c r="L16" i="4" s="1"/>
  <c r="D27" i="4"/>
  <c r="L27" i="4" s="1"/>
  <c r="M9" i="3"/>
  <c r="F11" i="6" s="1"/>
  <c r="F10" i="4"/>
  <c r="H10" i="4" s="1"/>
  <c r="B12" i="3"/>
  <c r="I9" i="4"/>
  <c r="C5" i="7" l="1"/>
  <c r="M8" i="6"/>
  <c r="N8" i="6" s="1"/>
  <c r="H10" i="8"/>
  <c r="O7" i="4"/>
  <c r="N8" i="4"/>
  <c r="O8" i="4" s="1"/>
  <c r="B5" i="7"/>
  <c r="N9" i="8"/>
  <c r="O9" i="8" s="1"/>
  <c r="J10" i="8"/>
  <c r="L9" i="6"/>
  <c r="G10" i="6"/>
  <c r="M9" i="4"/>
  <c r="Q8" i="4"/>
  <c r="R7" i="4" s="1"/>
  <c r="G10" i="4"/>
  <c r="O9" i="3"/>
  <c r="P9" i="3" s="1"/>
  <c r="I10" i="8"/>
  <c r="I12" i="3"/>
  <c r="F11" i="8"/>
  <c r="K10" i="3"/>
  <c r="G11" i="8"/>
  <c r="L11" i="3"/>
  <c r="D20" i="8"/>
  <c r="M20" i="8" s="1"/>
  <c r="H10" i="6"/>
  <c r="I10" i="6"/>
  <c r="J10" i="4"/>
  <c r="D20" i="6"/>
  <c r="K20" i="6" s="1"/>
  <c r="D28" i="4"/>
  <c r="L28" i="4" s="1"/>
  <c r="D17" i="4"/>
  <c r="L17" i="4" s="1"/>
  <c r="I10" i="4"/>
  <c r="M10" i="3"/>
  <c r="G12" i="8" s="1"/>
  <c r="F11" i="4"/>
  <c r="B13" i="3"/>
  <c r="J14" i="3"/>
  <c r="C6" i="7" l="1"/>
  <c r="M9" i="6"/>
  <c r="N9" i="6" s="1"/>
  <c r="N9" i="4"/>
  <c r="Q9" i="4" s="1"/>
  <c r="B6" i="7"/>
  <c r="N10" i="8"/>
  <c r="O10" i="8" s="1"/>
  <c r="L10" i="6"/>
  <c r="M10" i="4"/>
  <c r="O10" i="3"/>
  <c r="P10" i="3" s="1"/>
  <c r="I13" i="3"/>
  <c r="K11" i="3"/>
  <c r="F12" i="8"/>
  <c r="N9" i="3"/>
  <c r="H11" i="6" s="1"/>
  <c r="E11" i="8"/>
  <c r="H11" i="8" s="1"/>
  <c r="E11" i="4"/>
  <c r="E11" i="6"/>
  <c r="G11" i="6" s="1"/>
  <c r="F12" i="6"/>
  <c r="L12" i="3"/>
  <c r="D18" i="4"/>
  <c r="L18" i="4" s="1"/>
  <c r="D29" i="4"/>
  <c r="L29" i="4" s="1"/>
  <c r="B14" i="3"/>
  <c r="M11" i="3"/>
  <c r="F13" i="6" s="1"/>
  <c r="F12" i="4"/>
  <c r="J15" i="3"/>
  <c r="C7" i="7" l="1"/>
  <c r="M10" i="6"/>
  <c r="N10" i="6"/>
  <c r="N10" i="4"/>
  <c r="O10" i="4" s="1"/>
  <c r="B7" i="7"/>
  <c r="O9" i="4"/>
  <c r="Q10" i="4"/>
  <c r="H11" i="4"/>
  <c r="G11" i="4"/>
  <c r="R8" i="4"/>
  <c r="O11" i="3"/>
  <c r="P11" i="3" s="1"/>
  <c r="I14" i="3"/>
  <c r="J11" i="4"/>
  <c r="I11" i="6"/>
  <c r="I11" i="4"/>
  <c r="N10" i="3"/>
  <c r="K12" i="8" s="1"/>
  <c r="E12" i="4"/>
  <c r="E12" i="8"/>
  <c r="E12" i="6"/>
  <c r="G12" i="6" s="1"/>
  <c r="K12" i="3"/>
  <c r="F13" i="8"/>
  <c r="I11" i="8"/>
  <c r="K11" i="8"/>
  <c r="J11" i="8"/>
  <c r="L13" i="3"/>
  <c r="G13" i="8"/>
  <c r="D19" i="4"/>
  <c r="L19" i="4" s="1"/>
  <c r="M12" i="3"/>
  <c r="F14" i="6" s="1"/>
  <c r="F13" i="4"/>
  <c r="B15" i="3"/>
  <c r="J16" i="3"/>
  <c r="N11" i="8" l="1"/>
  <c r="O11" i="8" s="1"/>
  <c r="L11" i="6"/>
  <c r="M11" i="4"/>
  <c r="R9" i="4"/>
  <c r="H12" i="4"/>
  <c r="G12" i="4"/>
  <c r="I15" i="3"/>
  <c r="O12" i="3"/>
  <c r="P12" i="3" s="1"/>
  <c r="J12" i="4"/>
  <c r="N11" i="3"/>
  <c r="I13" i="6" s="1"/>
  <c r="E13" i="6"/>
  <c r="G13" i="6" s="1"/>
  <c r="E13" i="8"/>
  <c r="J13" i="8" s="1"/>
  <c r="E13" i="4"/>
  <c r="H12" i="6"/>
  <c r="I12" i="8"/>
  <c r="K13" i="3"/>
  <c r="F14" i="8"/>
  <c r="I12" i="4"/>
  <c r="I12" i="6"/>
  <c r="G14" i="8"/>
  <c r="J12" i="8"/>
  <c r="H12" i="8"/>
  <c r="L14" i="3"/>
  <c r="D20" i="4"/>
  <c r="L20" i="4" s="1"/>
  <c r="B16" i="3"/>
  <c r="M13" i="3"/>
  <c r="G15" i="8" s="1"/>
  <c r="F14" i="4"/>
  <c r="J17" i="3"/>
  <c r="C8" i="7" l="1"/>
  <c r="M11" i="6"/>
  <c r="N11" i="6" s="1"/>
  <c r="H13" i="8"/>
  <c r="N11" i="4"/>
  <c r="Q11" i="4" s="1"/>
  <c r="R10" i="4" s="1"/>
  <c r="B8" i="7"/>
  <c r="N12" i="8"/>
  <c r="O12" i="8" s="1"/>
  <c r="L12" i="6"/>
  <c r="M12" i="4"/>
  <c r="H13" i="4"/>
  <c r="G13" i="4"/>
  <c r="O13" i="3"/>
  <c r="P13" i="3" s="1"/>
  <c r="I16" i="3"/>
  <c r="H13" i="6"/>
  <c r="K13" i="8"/>
  <c r="I13" i="4"/>
  <c r="J13" i="4"/>
  <c r="I13" i="8"/>
  <c r="E14" i="8"/>
  <c r="J14" i="8" s="1"/>
  <c r="E14" i="6"/>
  <c r="G14" i="6" s="1"/>
  <c r="E14" i="4"/>
  <c r="N12" i="3"/>
  <c r="K14" i="8" s="1"/>
  <c r="F15" i="8"/>
  <c r="K14" i="3"/>
  <c r="F15" i="6"/>
  <c r="L15" i="3"/>
  <c r="B17" i="3"/>
  <c r="M14" i="3"/>
  <c r="F15" i="4"/>
  <c r="J18" i="3"/>
  <c r="C9" i="7" l="1"/>
  <c r="M12" i="6"/>
  <c r="N12" i="6" s="1"/>
  <c r="O11" i="4"/>
  <c r="N12" i="4"/>
  <c r="Q12" i="4" s="1"/>
  <c r="R11" i="4" s="1"/>
  <c r="B9" i="7"/>
  <c r="N13" i="8"/>
  <c r="O13" i="8" s="1"/>
  <c r="L13" i="6"/>
  <c r="M13" i="4"/>
  <c r="H14" i="4"/>
  <c r="G14" i="4"/>
  <c r="O14" i="3"/>
  <c r="P14" i="3" s="1"/>
  <c r="I17" i="3"/>
  <c r="I14" i="6"/>
  <c r="I14" i="8"/>
  <c r="J14" i="4"/>
  <c r="H14" i="6"/>
  <c r="I14" i="4"/>
  <c r="F16" i="8"/>
  <c r="K15" i="3"/>
  <c r="E15" i="4"/>
  <c r="E15" i="8"/>
  <c r="E15" i="6"/>
  <c r="G15" i="6" s="1"/>
  <c r="N13" i="3"/>
  <c r="H15" i="6" s="1"/>
  <c r="H14" i="8"/>
  <c r="L16" i="3"/>
  <c r="F16" i="6"/>
  <c r="G16" i="8"/>
  <c r="B18" i="3"/>
  <c r="M15" i="3"/>
  <c r="F17" i="6" s="1"/>
  <c r="F16" i="4"/>
  <c r="J19" i="3"/>
  <c r="C10" i="7" l="1"/>
  <c r="M13" i="6"/>
  <c r="N13" i="6"/>
  <c r="N13" i="4"/>
  <c r="Q13" i="4" s="1"/>
  <c r="R12" i="4" s="1"/>
  <c r="B10" i="7"/>
  <c r="O12" i="4"/>
  <c r="N14" i="8"/>
  <c r="O14" i="8" s="1"/>
  <c r="L14" i="6"/>
  <c r="M14" i="4"/>
  <c r="H15" i="4"/>
  <c r="G15" i="4"/>
  <c r="I15" i="4"/>
  <c r="O15" i="3"/>
  <c r="P15" i="3" s="1"/>
  <c r="I18" i="3"/>
  <c r="K15" i="8"/>
  <c r="J15" i="4"/>
  <c r="I15" i="8"/>
  <c r="I15" i="6"/>
  <c r="L15" i="6" s="1"/>
  <c r="E16" i="8"/>
  <c r="H16" i="8" s="1"/>
  <c r="E16" i="6"/>
  <c r="G16" i="6" s="1"/>
  <c r="E16" i="4"/>
  <c r="F17" i="8"/>
  <c r="K16" i="3"/>
  <c r="J15" i="8"/>
  <c r="H15" i="8"/>
  <c r="N14" i="3"/>
  <c r="K16" i="8" s="1"/>
  <c r="N15" i="3"/>
  <c r="I17" i="8" s="1"/>
  <c r="G17" i="8"/>
  <c r="L17" i="3"/>
  <c r="M16" i="3"/>
  <c r="F17" i="4"/>
  <c r="B19" i="3"/>
  <c r="J20" i="3"/>
  <c r="C11" i="7" l="1"/>
  <c r="M14" i="6"/>
  <c r="N14" i="6" s="1"/>
  <c r="C12" i="7"/>
  <c r="M15" i="6"/>
  <c r="N15" i="6" s="1"/>
  <c r="N14" i="4"/>
  <c r="Q14" i="4" s="1"/>
  <c r="R13" i="4" s="1"/>
  <c r="B11" i="7"/>
  <c r="O13" i="4"/>
  <c r="N15" i="8"/>
  <c r="O15" i="8" s="1"/>
  <c r="M15" i="4"/>
  <c r="H16" i="4"/>
  <c r="G16" i="4"/>
  <c r="O16" i="3"/>
  <c r="P16" i="3" s="1"/>
  <c r="I19" i="3"/>
  <c r="I16" i="8"/>
  <c r="I16" i="4"/>
  <c r="J16" i="4"/>
  <c r="I16" i="6"/>
  <c r="K17" i="8"/>
  <c r="H16" i="6"/>
  <c r="J16" i="8"/>
  <c r="E17" i="4"/>
  <c r="G17" i="4" s="1"/>
  <c r="E17" i="6"/>
  <c r="G17" i="6" s="1"/>
  <c r="E17" i="8"/>
  <c r="H17" i="8" s="1"/>
  <c r="N16" i="3"/>
  <c r="K17" i="3"/>
  <c r="F18" i="8"/>
  <c r="L18" i="3"/>
  <c r="F18" i="6"/>
  <c r="G18" i="8"/>
  <c r="H17" i="6"/>
  <c r="I17" i="6"/>
  <c r="J17" i="4"/>
  <c r="B20" i="3"/>
  <c r="M17" i="3"/>
  <c r="F19" i="6" s="1"/>
  <c r="F18" i="4"/>
  <c r="I17" i="4"/>
  <c r="K21" i="3"/>
  <c r="F23" i="8" s="1"/>
  <c r="H17" i="4" l="1"/>
  <c r="N15" i="4"/>
  <c r="Q15" i="4" s="1"/>
  <c r="R14" i="4" s="1"/>
  <c r="B12" i="7"/>
  <c r="O14" i="4"/>
  <c r="N16" i="8"/>
  <c r="O16" i="8" s="1"/>
  <c r="L16" i="6"/>
  <c r="L17" i="6"/>
  <c r="M16" i="4"/>
  <c r="M17" i="4"/>
  <c r="I20" i="3"/>
  <c r="O17" i="3"/>
  <c r="P17" i="3" s="1"/>
  <c r="J17" i="8"/>
  <c r="N17" i="8" s="1"/>
  <c r="O17" i="8" s="1"/>
  <c r="K18" i="3"/>
  <c r="F19" i="8"/>
  <c r="E18" i="6"/>
  <c r="G18" i="6" s="1"/>
  <c r="E18" i="4"/>
  <c r="E18" i="8"/>
  <c r="J18" i="8" s="1"/>
  <c r="L19" i="3"/>
  <c r="I18" i="8"/>
  <c r="K18" i="8"/>
  <c r="G19" i="8"/>
  <c r="H18" i="6"/>
  <c r="I18" i="6"/>
  <c r="J18" i="4"/>
  <c r="M18" i="3"/>
  <c r="G20" i="8" s="1"/>
  <c r="F19" i="4"/>
  <c r="I18" i="4"/>
  <c r="B21" i="3"/>
  <c r="K22" i="3"/>
  <c r="F24" i="8" s="1"/>
  <c r="C14" i="7" l="1"/>
  <c r="M17" i="6"/>
  <c r="N17" i="6" s="1"/>
  <c r="C13" i="7"/>
  <c r="M16" i="6"/>
  <c r="N16" i="6" s="1"/>
  <c r="N16" i="4"/>
  <c r="Q16" i="4" s="1"/>
  <c r="R15" i="4" s="1"/>
  <c r="B13" i="7"/>
  <c r="O15" i="4"/>
  <c r="N17" i="4"/>
  <c r="O17" i="4" s="1"/>
  <c r="B14" i="7"/>
  <c r="L18" i="6"/>
  <c r="H18" i="4"/>
  <c r="G18" i="4"/>
  <c r="I21" i="3"/>
  <c r="B34" i="3"/>
  <c r="B37" i="3" s="1"/>
  <c r="H18" i="8"/>
  <c r="O18" i="3"/>
  <c r="P18" i="3" s="1"/>
  <c r="E19" i="8"/>
  <c r="H19" i="8" s="1"/>
  <c r="E19" i="4"/>
  <c r="E19" i="6"/>
  <c r="G19" i="6" s="1"/>
  <c r="N17" i="3"/>
  <c r="K19" i="8" s="1"/>
  <c r="F20" i="8"/>
  <c r="K19" i="3"/>
  <c r="L20" i="3"/>
  <c r="F20" i="6"/>
  <c r="M19" i="3"/>
  <c r="F20" i="4"/>
  <c r="B22" i="3"/>
  <c r="K23" i="3"/>
  <c r="F25" i="8" s="1"/>
  <c r="C15" i="7" l="1"/>
  <c r="M18" i="6"/>
  <c r="N18" i="6"/>
  <c r="Q17" i="4"/>
  <c r="R16" i="4" s="1"/>
  <c r="O16" i="4"/>
  <c r="N18" i="8"/>
  <c r="O18" i="8" s="1"/>
  <c r="M18" i="4"/>
  <c r="H19" i="4"/>
  <c r="G19" i="4"/>
  <c r="O19" i="3"/>
  <c r="P19" i="3" s="1"/>
  <c r="J19" i="4"/>
  <c r="I22" i="3"/>
  <c r="I19" i="8"/>
  <c r="H19" i="6"/>
  <c r="J19" i="8"/>
  <c r="N18" i="3"/>
  <c r="I20" i="8" s="1"/>
  <c r="K20" i="3"/>
  <c r="F21" i="8"/>
  <c r="I19" i="4"/>
  <c r="I19" i="6"/>
  <c r="E20" i="4"/>
  <c r="E20" i="8"/>
  <c r="E20" i="6"/>
  <c r="G20" i="6" s="1"/>
  <c r="M21" i="3"/>
  <c r="F21" i="6"/>
  <c r="G21" i="8"/>
  <c r="M20" i="3"/>
  <c r="F21" i="4"/>
  <c r="B23" i="3"/>
  <c r="K24" i="3"/>
  <c r="F26" i="8" s="1"/>
  <c r="H20" i="6" l="1"/>
  <c r="N18" i="4"/>
  <c r="Q18" i="4" s="1"/>
  <c r="B15" i="7"/>
  <c r="N19" i="8"/>
  <c r="O19" i="8" s="1"/>
  <c r="L19" i="6"/>
  <c r="M19" i="4"/>
  <c r="H20" i="4"/>
  <c r="G20" i="4"/>
  <c r="O20" i="3"/>
  <c r="P20" i="3" s="1"/>
  <c r="I23" i="3"/>
  <c r="I20" i="4"/>
  <c r="J20" i="4"/>
  <c r="K20" i="8"/>
  <c r="I20" i="6"/>
  <c r="N19" i="3"/>
  <c r="I21" i="6" s="1"/>
  <c r="H20" i="8"/>
  <c r="J20" i="8"/>
  <c r="E21" i="4"/>
  <c r="E21" i="6"/>
  <c r="G21" i="6" s="1"/>
  <c r="E21" i="8"/>
  <c r="H21" i="8" s="1"/>
  <c r="L21" i="3"/>
  <c r="L22" i="3" s="1"/>
  <c r="L23" i="3" s="1"/>
  <c r="L24" i="3" s="1"/>
  <c r="F22" i="8"/>
  <c r="M22" i="3"/>
  <c r="F22" i="6"/>
  <c r="G22" i="8"/>
  <c r="B24" i="3"/>
  <c r="F22" i="4"/>
  <c r="K25" i="3"/>
  <c r="F27" i="8" s="1"/>
  <c r="C16" i="7" l="1"/>
  <c r="M19" i="6"/>
  <c r="N19" i="6" s="1"/>
  <c r="I21" i="4"/>
  <c r="L20" i="6"/>
  <c r="O18" i="4"/>
  <c r="N19" i="4"/>
  <c r="Q19" i="4" s="1"/>
  <c r="B16" i="7"/>
  <c r="N20" i="8"/>
  <c r="O20" i="8" s="1"/>
  <c r="R17" i="4"/>
  <c r="M20" i="4"/>
  <c r="H21" i="4"/>
  <c r="G21" i="4"/>
  <c r="J21" i="8"/>
  <c r="I24" i="3"/>
  <c r="H21" i="6"/>
  <c r="K21" i="8"/>
  <c r="F23" i="4"/>
  <c r="J21" i="4"/>
  <c r="F23" i="6"/>
  <c r="I21" i="8"/>
  <c r="G23" i="8"/>
  <c r="N20" i="3"/>
  <c r="J22" i="4" s="1"/>
  <c r="E22" i="8"/>
  <c r="J22" i="8" s="1"/>
  <c r="E22" i="4"/>
  <c r="J21" i="3"/>
  <c r="O21" i="3" s="1"/>
  <c r="P21" i="3" s="1"/>
  <c r="E22" i="6"/>
  <c r="G22" i="6" s="1"/>
  <c r="F24" i="6"/>
  <c r="M23" i="3"/>
  <c r="G24" i="8"/>
  <c r="F24" i="4"/>
  <c r="L25" i="3"/>
  <c r="B25" i="3"/>
  <c r="K26" i="3"/>
  <c r="F28" i="8" s="1"/>
  <c r="C17" i="7" l="1"/>
  <c r="M20" i="6"/>
  <c r="N20" i="6" s="1"/>
  <c r="K22" i="8"/>
  <c r="I22" i="6"/>
  <c r="N20" i="4"/>
  <c r="Q20" i="4" s="1"/>
  <c r="R19" i="4" s="1"/>
  <c r="B17" i="7"/>
  <c r="O19" i="4"/>
  <c r="N21" i="8"/>
  <c r="O21" i="8" s="1"/>
  <c r="L21" i="6"/>
  <c r="M21" i="4"/>
  <c r="R18" i="4"/>
  <c r="H22" i="4"/>
  <c r="G22" i="4"/>
  <c r="H22" i="6"/>
  <c r="I22" i="8"/>
  <c r="I22" i="4"/>
  <c r="H22" i="8"/>
  <c r="I25" i="3"/>
  <c r="J22" i="3"/>
  <c r="L26" i="3"/>
  <c r="F25" i="6"/>
  <c r="F25" i="4"/>
  <c r="M24" i="3"/>
  <c r="G25" i="8"/>
  <c r="B26" i="3"/>
  <c r="K27" i="3"/>
  <c r="F29" i="8" s="1"/>
  <c r="C18" i="7" l="1"/>
  <c r="M21" i="6"/>
  <c r="N21" i="6" s="1"/>
  <c r="L22" i="6"/>
  <c r="N21" i="4"/>
  <c r="Q21" i="4" s="1"/>
  <c r="R20" i="4" s="1"/>
  <c r="B18" i="7"/>
  <c r="O20" i="4"/>
  <c r="N22" i="8"/>
  <c r="O22" i="8" s="1"/>
  <c r="M22" i="4"/>
  <c r="J23" i="3"/>
  <c r="O22" i="3"/>
  <c r="P22" i="3" s="1"/>
  <c r="I26" i="3"/>
  <c r="E23" i="8"/>
  <c r="E23" i="4"/>
  <c r="E23" i="6"/>
  <c r="G23" i="6" s="1"/>
  <c r="N21" i="3"/>
  <c r="F26" i="6"/>
  <c r="F26" i="4"/>
  <c r="M25" i="3"/>
  <c r="G26" i="8"/>
  <c r="L27" i="3"/>
  <c r="B27" i="3"/>
  <c r="C19" i="7" l="1"/>
  <c r="M22" i="6"/>
  <c r="N22" i="6" s="1"/>
  <c r="N22" i="4"/>
  <c r="Q22" i="4" s="1"/>
  <c r="R21" i="4" s="1"/>
  <c r="B19" i="7"/>
  <c r="O21" i="4"/>
  <c r="H23" i="4"/>
  <c r="G23" i="4"/>
  <c r="I27" i="3"/>
  <c r="J24" i="3"/>
  <c r="O23" i="3"/>
  <c r="P23" i="3" s="1"/>
  <c r="K23" i="8"/>
  <c r="H23" i="6"/>
  <c r="I23" i="4"/>
  <c r="I23" i="6"/>
  <c r="J23" i="4"/>
  <c r="I23" i="8"/>
  <c r="E24" i="4"/>
  <c r="E24" i="6"/>
  <c r="G24" i="6" s="1"/>
  <c r="E24" i="8"/>
  <c r="N22" i="3"/>
  <c r="H23" i="8"/>
  <c r="J23" i="8"/>
  <c r="F27" i="6"/>
  <c r="M26" i="3"/>
  <c r="G27" i="8"/>
  <c r="F27" i="4"/>
  <c r="L23" i="6" l="1"/>
  <c r="O22" i="4"/>
  <c r="N23" i="8"/>
  <c r="O23" i="8" s="1"/>
  <c r="M23" i="4"/>
  <c r="H24" i="4"/>
  <c r="G24" i="4"/>
  <c r="J25" i="3"/>
  <c r="O24" i="3"/>
  <c r="P24" i="3" s="1"/>
  <c r="E25" i="6"/>
  <c r="G25" i="6" s="1"/>
  <c r="E25" i="8"/>
  <c r="E25" i="4"/>
  <c r="N23" i="3"/>
  <c r="J24" i="8"/>
  <c r="H24" i="8"/>
  <c r="K24" i="8"/>
  <c r="H24" i="6"/>
  <c r="I24" i="4"/>
  <c r="I24" i="6"/>
  <c r="I24" i="8"/>
  <c r="J24" i="4"/>
  <c r="F28" i="6"/>
  <c r="M27" i="3"/>
  <c r="F28" i="4"/>
  <c r="G28" i="8"/>
  <c r="C20" i="7" l="1"/>
  <c r="M23" i="6"/>
  <c r="N23" i="6" s="1"/>
  <c r="N23" i="4"/>
  <c r="B20" i="7"/>
  <c r="N24" i="8"/>
  <c r="O24" i="8" s="1"/>
  <c r="L24" i="6"/>
  <c r="Q23" i="4"/>
  <c r="R22" i="4" s="1"/>
  <c r="O23" i="4"/>
  <c r="M24" i="4"/>
  <c r="H25" i="4"/>
  <c r="G25" i="4"/>
  <c r="J26" i="3"/>
  <c r="O25" i="3"/>
  <c r="P25" i="3" s="1"/>
  <c r="I25" i="4"/>
  <c r="I25" i="8"/>
  <c r="H25" i="6"/>
  <c r="K25" i="8"/>
  <c r="I25" i="6"/>
  <c r="J25" i="4"/>
  <c r="E26" i="8"/>
  <c r="E26" i="4"/>
  <c r="E26" i="6"/>
  <c r="G26" i="6" s="1"/>
  <c r="N24" i="3"/>
  <c r="H25" i="8"/>
  <c r="J25" i="8"/>
  <c r="F29" i="6"/>
  <c r="F29" i="4"/>
  <c r="G29" i="8"/>
  <c r="C21" i="7" l="1"/>
  <c r="M24" i="6"/>
  <c r="N24" i="6" s="1"/>
  <c r="N24" i="4"/>
  <c r="Q24" i="4" s="1"/>
  <c r="B21" i="7"/>
  <c r="N25" i="8"/>
  <c r="O25" i="8" s="1"/>
  <c r="L25" i="6"/>
  <c r="M25" i="4"/>
  <c r="H26" i="4"/>
  <c r="G26" i="4"/>
  <c r="J27" i="3"/>
  <c r="O27" i="3" s="1"/>
  <c r="O26" i="3"/>
  <c r="P26" i="3" s="1"/>
  <c r="J26" i="8"/>
  <c r="H26" i="8"/>
  <c r="J26" i="4"/>
  <c r="I26" i="6"/>
  <c r="H26" i="6"/>
  <c r="I26" i="8"/>
  <c r="K26" i="8"/>
  <c r="I26" i="4"/>
  <c r="E27" i="8"/>
  <c r="E27" i="4"/>
  <c r="E27" i="6"/>
  <c r="G27" i="6" s="1"/>
  <c r="N25" i="3"/>
  <c r="C22" i="7" l="1"/>
  <c r="M25" i="6"/>
  <c r="N25" i="6" s="1"/>
  <c r="N25" i="4"/>
  <c r="Q25" i="4" s="1"/>
  <c r="B22" i="7"/>
  <c r="O24" i="4"/>
  <c r="N26" i="8"/>
  <c r="O26" i="8" s="1"/>
  <c r="L26" i="6"/>
  <c r="M26" i="4"/>
  <c r="R23" i="4"/>
  <c r="H27" i="4"/>
  <c r="G27" i="4"/>
  <c r="P27" i="3"/>
  <c r="J27" i="8"/>
  <c r="H27" i="8"/>
  <c r="E28" i="4"/>
  <c r="E28" i="6"/>
  <c r="G28" i="6" s="1"/>
  <c r="E28" i="8"/>
  <c r="N26" i="3"/>
  <c r="I27" i="8"/>
  <c r="I27" i="6"/>
  <c r="K27" i="8"/>
  <c r="J27" i="4"/>
  <c r="I27" i="4"/>
  <c r="H27" i="6"/>
  <c r="C23" i="7" l="1"/>
  <c r="M26" i="6"/>
  <c r="N26" i="6" s="1"/>
  <c r="N26" i="4"/>
  <c r="Q26" i="4" s="1"/>
  <c r="R25" i="4" s="1"/>
  <c r="B23" i="7"/>
  <c r="O25" i="4"/>
  <c r="N27" i="8"/>
  <c r="O27" i="8" s="1"/>
  <c r="L27" i="6"/>
  <c r="M27" i="4"/>
  <c r="R24" i="4"/>
  <c r="H28" i="4"/>
  <c r="G28" i="4"/>
  <c r="I28" i="6"/>
  <c r="J28" i="4"/>
  <c r="I28" i="4"/>
  <c r="I28" i="8"/>
  <c r="K28" i="8"/>
  <c r="H28" i="6"/>
  <c r="E29" i="8"/>
  <c r="E29" i="4"/>
  <c r="E29" i="6"/>
  <c r="G29" i="6" s="1"/>
  <c r="N27" i="3"/>
  <c r="J28" i="8"/>
  <c r="H28" i="8"/>
  <c r="C24" i="7" l="1"/>
  <c r="M27" i="6"/>
  <c r="N27" i="6" s="1"/>
  <c r="N27" i="4"/>
  <c r="Q27" i="4" s="1"/>
  <c r="R26" i="4" s="1"/>
  <c r="B24" i="7"/>
  <c r="O26" i="4"/>
  <c r="L28" i="6"/>
  <c r="N28" i="8"/>
  <c r="O28" i="8" s="1"/>
  <c r="M28" i="4"/>
  <c r="H29" i="4"/>
  <c r="G29" i="4"/>
  <c r="I29" i="6"/>
  <c r="J29" i="4"/>
  <c r="I29" i="4"/>
  <c r="I29" i="8"/>
  <c r="K29" i="8"/>
  <c r="H29" i="6"/>
  <c r="H29" i="8"/>
  <c r="J29" i="8"/>
  <c r="M28" i="6" l="1"/>
  <c r="N28" i="6" s="1"/>
  <c r="N28" i="4"/>
  <c r="Q28" i="4" s="1"/>
  <c r="R27" i="4" s="1"/>
  <c r="B25" i="7"/>
  <c r="O27" i="4"/>
  <c r="C25" i="7"/>
  <c r="N29" i="8"/>
  <c r="L29" i="6"/>
  <c r="M29" i="4"/>
  <c r="O29" i="8" l="1"/>
  <c r="O2" i="8" s="1"/>
  <c r="C26" i="7"/>
  <c r="M29" i="6"/>
  <c r="N29" i="6" s="1"/>
  <c r="O28" i="4"/>
  <c r="N29" i="4"/>
  <c r="N2" i="4" s="1"/>
  <c r="B26" i="7"/>
  <c r="M2" i="6"/>
  <c r="O29" i="4" l="1"/>
  <c r="Q29" i="4"/>
  <c r="R28" i="4" s="1"/>
  <c r="O3" i="8"/>
  <c r="O4" i="8" s="1"/>
  <c r="M3" i="6"/>
  <c r="M4" i="6" s="1"/>
  <c r="R29" i="4" l="1"/>
  <c r="Q32" i="4"/>
</calcChain>
</file>

<file path=xl/sharedStrings.xml><?xml version="1.0" encoding="utf-8"?>
<sst xmlns="http://schemas.openxmlformats.org/spreadsheetml/2006/main" count="136" uniqueCount="101">
  <si>
    <t>Age</t>
  </si>
  <si>
    <t>Number of children</t>
  </si>
  <si>
    <t>Ages</t>
  </si>
  <si>
    <t>Number of children at that age at start of projection</t>
  </si>
  <si>
    <t>Price per day for age 2 and under</t>
  </si>
  <si>
    <t>Number of days per month</t>
  </si>
  <si>
    <t>Number of hours per day</t>
  </si>
  <si>
    <t>Number of weeks per month</t>
  </si>
  <si>
    <t>Number of days per week</t>
  </si>
  <si>
    <t>Birth month</t>
  </si>
  <si>
    <t>Number of hours free childcare</t>
  </si>
  <si>
    <t>scenario 1</t>
  </si>
  <si>
    <t>scenario 2</t>
  </si>
  <si>
    <t>Number of employees</t>
  </si>
  <si>
    <t>Payment to employees (per hour)</t>
  </si>
  <si>
    <t>Price of food per week</t>
  </si>
  <si>
    <t>Discount rate</t>
  </si>
  <si>
    <t>Income items:</t>
  </si>
  <si>
    <t>Expenses:</t>
  </si>
  <si>
    <t>Month/year</t>
  </si>
  <si>
    <t>Number of children in age group</t>
  </si>
  <si>
    <t>Price for under 3 year olds per day</t>
  </si>
  <si>
    <t>Number of chargeable hours for over 3 year olds</t>
  </si>
  <si>
    <t>Number of children under 3 year old</t>
  </si>
  <si>
    <t>Number of children over 3 and under 5</t>
  </si>
  <si>
    <t>Cost of food</t>
  </si>
  <si>
    <t>Employee costs</t>
  </si>
  <si>
    <t>Inflation rate</t>
  </si>
  <si>
    <t>Year of projection</t>
  </si>
  <si>
    <t>Month of inflation increase</t>
  </si>
  <si>
    <t>Net cashflow</t>
  </si>
  <si>
    <t>Discounted net cashflow</t>
  </si>
  <si>
    <t>Month of projection</t>
  </si>
  <si>
    <t>Monthly discount rate</t>
  </si>
  <si>
    <t>PV of net income</t>
  </si>
  <si>
    <t>Target PV</t>
  </si>
  <si>
    <t>Goalseek check</t>
  </si>
  <si>
    <t>Net income 30 hours free</t>
  </si>
  <si>
    <t>Net income 15 hours free</t>
  </si>
  <si>
    <t xml:space="preserve"> </t>
  </si>
  <si>
    <t>Reasonableness check:</t>
  </si>
  <si>
    <t>Net income higher in earlier months due to the weighting towards children under 3 and the higher price charged for the 30 free hours scenario</t>
  </si>
  <si>
    <t>Chargeable price per day is lower as more free hours</t>
  </si>
  <si>
    <t>Price charged higher due to the extra free hours</t>
  </si>
  <si>
    <t>Reasonableness checks:</t>
  </si>
  <si>
    <t>Income decreases over time as children leave childcare and not replaced</t>
  </si>
  <si>
    <t>Step changes at June months when children age and switch price structure as they reach the age of 3</t>
  </si>
  <si>
    <t>Charge for activities</t>
  </si>
  <si>
    <t>Number of children 1 and under</t>
  </si>
  <si>
    <t>Number of children aged 2 years old</t>
  </si>
  <si>
    <t>Additional scenario</t>
  </si>
  <si>
    <t>Base activity fee</t>
  </si>
  <si>
    <t>Activity fee multiple</t>
  </si>
  <si>
    <t>Under 1 year olds</t>
  </si>
  <si>
    <t>2 year olds</t>
  </si>
  <si>
    <t>Over 3 year olds</t>
  </si>
  <si>
    <t>Frequency per week</t>
  </si>
  <si>
    <t>Total activities per month</t>
  </si>
  <si>
    <t>15 free hours</t>
  </si>
  <si>
    <t>30 free hours increased fees</t>
  </si>
  <si>
    <t>30 free hours &amp; activity fees</t>
  </si>
  <si>
    <t>Price per age group</t>
  </si>
  <si>
    <t>Children under 1 years old</t>
  </si>
  <si>
    <t>3 year olds and over</t>
  </si>
  <si>
    <t>Price for over 3 year olds per day (after free hours)</t>
  </si>
  <si>
    <t>Price per day for age 3 and over (before free hours deduction)</t>
  </si>
  <si>
    <t>Price charged per day is highest for under 1 year olds due to the increased activity charge</t>
  </si>
  <si>
    <t>Economic parameters:</t>
  </si>
  <si>
    <t>Sense check:</t>
  </si>
  <si>
    <t>2019 check</t>
  </si>
  <si>
    <t>Number of diapers per day</t>
  </si>
  <si>
    <t>Charge per diaper</t>
  </si>
  <si>
    <t>Price of diapers (per 20 diapers)</t>
  </si>
  <si>
    <t>Number of diapers per pack</t>
  </si>
  <si>
    <t>Income per month excluding diapers</t>
  </si>
  <si>
    <t>Charge for diapers used (income)</t>
  </si>
  <si>
    <t>Cost of diapers</t>
  </si>
  <si>
    <t>Total number of children</t>
  </si>
  <si>
    <t>Number of diapers used per month</t>
  </si>
  <si>
    <t>Check total number not increasing</t>
  </si>
  <si>
    <t>n/a</t>
  </si>
  <si>
    <t>Check on discounted cashflow</t>
  </si>
  <si>
    <t>Check on total children</t>
  </si>
  <si>
    <t>Impact of discounting</t>
  </si>
  <si>
    <t>Increasing impact?</t>
  </si>
  <si>
    <t>2 years discounting</t>
  </si>
  <si>
    <t>Last discounting close to 2 years</t>
  </si>
  <si>
    <t>For later months, net income with 30 hours free is lower due to age of children being mostly greater than 3 years old so getting the lower income payment</t>
  </si>
  <si>
    <t>Disccounted net cashflow</t>
  </si>
  <si>
    <t>Discounted net income</t>
  </si>
  <si>
    <t>Activities scenario looks least favourable due to the volatility in price per age group so Baby Days may lose the younger ages for them to return when they are older</t>
  </si>
  <si>
    <t>Age of child with starting age as at January 2019</t>
  </si>
  <si>
    <t>Number of chargeable hours for 3 year olds and over per week</t>
  </si>
  <si>
    <t>Price for 3 year olds and over per day (after free hours)</t>
  </si>
  <si>
    <t>Number of chargeable hours for 3 year olds and over</t>
  </si>
  <si>
    <t>Price per day for 3 year olds and over before free hours deduction</t>
  </si>
  <si>
    <t>Number of children aged 3 to 5</t>
  </si>
  <si>
    <t>Overall cost for 3 years and over is very similar under activity scenario as per the original scenario, so some of the cost is covered by the under 3's</t>
  </si>
  <si>
    <t>2020 check</t>
  </si>
  <si>
    <t>Age of child from starting age in Jan 2019</t>
  </si>
  <si>
    <t>Number of children 3 years and over, and under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</si>
</sst>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1" fillId="0" borderId="0" xfId="0" applyFont="1"/>
    <xf numFmtId="17" fontId="0" fillId="0" borderId="0" xfId="0" applyNumberFormat="1"/>
    <xf numFmtId="0" fontId="0" fillId="2" borderId="0" xfId="0" applyFill="1"/>
    <xf numFmtId="164" fontId="0" fillId="0" borderId="0" xfId="0" applyNumberFormat="1"/>
    <xf numFmtId="0" fontId="3" fillId="0" borderId="0" xfId="0" applyFont="1"/>
    <xf numFmtId="10" fontId="0" fillId="0" borderId="0" xfId="0" applyNumberFormat="1"/>
    <xf numFmtId="2" fontId="0" fillId="0" borderId="0" xfId="0" applyNumberFormat="1"/>
    <xf numFmtId="0" fontId="4" fillId="2" borderId="0" xfId="0" applyFont="1" applyFill="1"/>
    <xf numFmtId="2" fontId="0" fillId="2" borderId="0" xfId="0" applyNumberFormat="1" applyFill="1"/>
    <xf numFmtId="2" fontId="0" fillId="3" borderId="0" xfId="0" applyNumberFormat="1" applyFill="1"/>
    <xf numFmtId="4" fontId="0" fillId="0" borderId="0" xfId="0" applyNumberFormat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4" borderId="0" xfId="0" applyNumberFormat="1" applyFill="1"/>
    <xf numFmtId="10" fontId="0" fillId="4" borderId="0" xfId="1" applyNumberFormat="1" applyFont="1" applyFill="1"/>
    <xf numFmtId="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4" fillId="0" borderId="0" xfId="0" applyNumberFormat="1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 of</a:t>
            </a:r>
            <a:r>
              <a:rPr lang="en-GB" baseline="0"/>
              <a:t> net income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Charts!$B$2</c:f>
              <c:strCache>
                <c:ptCount val="1"/>
                <c:pt idx="0">
                  <c:v>Net income 15 hours free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Charts!$A$3:$A$26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Charts!$B$3:$B$26</c:f>
              <c:numCache>
                <c:formatCode>#,##0.00</c:formatCode>
                <c:ptCount val="24"/>
                <c:pt idx="0">
                  <c:v>6270</c:v>
                </c:pt>
                <c:pt idx="1">
                  <c:v>6270</c:v>
                </c:pt>
                <c:pt idx="2">
                  <c:v>6270</c:v>
                </c:pt>
                <c:pt idx="3">
                  <c:v>6224.8499999999995</c:v>
                </c:pt>
                <c:pt idx="4">
                  <c:v>6224.8499999999995</c:v>
                </c:pt>
                <c:pt idx="5">
                  <c:v>4640.6750000000002</c:v>
                </c:pt>
                <c:pt idx="6">
                  <c:v>4640.6750000000002</c:v>
                </c:pt>
                <c:pt idx="7">
                  <c:v>4640.6750000000002</c:v>
                </c:pt>
                <c:pt idx="8">
                  <c:v>4640.6750000000002</c:v>
                </c:pt>
                <c:pt idx="9">
                  <c:v>4640.6750000000002</c:v>
                </c:pt>
                <c:pt idx="10">
                  <c:v>4640.6750000000002</c:v>
                </c:pt>
                <c:pt idx="11">
                  <c:v>4640.6750000000002</c:v>
                </c:pt>
                <c:pt idx="12">
                  <c:v>4640.6750000000002</c:v>
                </c:pt>
                <c:pt idx="13">
                  <c:v>4640.6750000000002</c:v>
                </c:pt>
                <c:pt idx="14">
                  <c:v>4640.6750000000002</c:v>
                </c:pt>
                <c:pt idx="15">
                  <c:v>4595.685125</c:v>
                </c:pt>
                <c:pt idx="16">
                  <c:v>4595.685125</c:v>
                </c:pt>
                <c:pt idx="17">
                  <c:v>1282.0452500000006</c:v>
                </c:pt>
                <c:pt idx="18">
                  <c:v>1282.0452500000006</c:v>
                </c:pt>
                <c:pt idx="19">
                  <c:v>1282.0452500000006</c:v>
                </c:pt>
                <c:pt idx="20">
                  <c:v>1282.0452500000006</c:v>
                </c:pt>
                <c:pt idx="21">
                  <c:v>1282.0452500000006</c:v>
                </c:pt>
                <c:pt idx="22">
                  <c:v>1282.0452500000006</c:v>
                </c:pt>
                <c:pt idx="23">
                  <c:v>1282.0452500000006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E-4EE8-8E1F-272D01A77CF8}"/>
            </c:ext>
          </c:extLst>
        </c:ser>
        <c:ser>
          <c:idx val="1"/>
          <c:order val="1"/>
          <c:tx>
            <c:strRef>
              <c:f>Charts!$C$2</c:f>
              <c:strCache>
                <c:ptCount val="1"/>
                <c:pt idx="0">
                  <c:v>Net income 30 hours free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Charts!$A$3:$A$26</c:f>
              <c:numCache>
                <c:formatCode>mmm\-yy</c:formatCode>
                <c:ptCount val="2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</c:numCache>
            </c:numRef>
          </c:cat>
          <c:val>
            <c:numRef>
              <c:f>Charts!$C$3:$C$26</c:f>
              <c:numCache>
                <c:formatCode>#,##0.00</c:formatCode>
                <c:ptCount val="24"/>
                <c:pt idx="0">
                  <c:v>7079.8037186616803</c:v>
                </c:pt>
                <c:pt idx="1">
                  <c:v>7079.8037186616803</c:v>
                </c:pt>
                <c:pt idx="2">
                  <c:v>7079.8037186616803</c:v>
                </c:pt>
                <c:pt idx="3">
                  <c:v>7034.6537186616797</c:v>
                </c:pt>
                <c:pt idx="4">
                  <c:v>7034.6537186616797</c:v>
                </c:pt>
                <c:pt idx="5">
                  <c:v>4716.1995231719711</c:v>
                </c:pt>
                <c:pt idx="6">
                  <c:v>4716.1995231719711</c:v>
                </c:pt>
                <c:pt idx="7">
                  <c:v>4716.1995231719711</c:v>
                </c:pt>
                <c:pt idx="8">
                  <c:v>4716.1995231719711</c:v>
                </c:pt>
                <c:pt idx="9">
                  <c:v>4716.1995231719711</c:v>
                </c:pt>
                <c:pt idx="10">
                  <c:v>4716.1995231719711</c:v>
                </c:pt>
                <c:pt idx="11">
                  <c:v>4716.1995231719711</c:v>
                </c:pt>
                <c:pt idx="12">
                  <c:v>4716.1995231719711</c:v>
                </c:pt>
                <c:pt idx="13">
                  <c:v>4716.1995231719711</c:v>
                </c:pt>
                <c:pt idx="14">
                  <c:v>4716.1995231719711</c:v>
                </c:pt>
                <c:pt idx="15">
                  <c:v>4671.2096481719709</c:v>
                </c:pt>
                <c:pt idx="16">
                  <c:v>4671.2096481719709</c:v>
                </c:pt>
                <c:pt idx="17">
                  <c:v>554.65823732471745</c:v>
                </c:pt>
                <c:pt idx="18">
                  <c:v>554.65823732471745</c:v>
                </c:pt>
                <c:pt idx="19">
                  <c:v>554.65823732471745</c:v>
                </c:pt>
                <c:pt idx="20">
                  <c:v>554.65823732471745</c:v>
                </c:pt>
                <c:pt idx="21">
                  <c:v>554.65823732471745</c:v>
                </c:pt>
                <c:pt idx="22">
                  <c:v>554.65823732471745</c:v>
                </c:pt>
                <c:pt idx="23">
                  <c:v>554.65823732471745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E-4EE8-8E1F-272D01A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892688"/>
        <c:axId val="692893080"/>
      </c:lineChart>
      <c:dateAx>
        <c:axId val="69289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52319509484708149"/>
              <c:y val="0.84660613369274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893080"/>
        <c:crosses val="autoZero"/>
        <c:auto val="1"/>
        <c:lblOffset val="100"/>
        <c:baseTimeUnit val="months"/>
      </c:dateAx>
      <c:valAx>
        <c:axId val="6928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Amount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89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Comparison</a:t>
            </a:r>
            <a:r>
              <a:rPr lang="en-GB" baseline="0"/>
              <a:t> of price charged per age bracket for the 3 scenarios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Charts!$A$32</c:f>
              <c:strCache>
                <c:ptCount val="1"/>
                <c:pt idx="0">
                  <c:v>15 free hours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Charts!$B$31:$D$31</c:f>
              <c:strCache>
                <c:ptCount val="3"/>
                <c:pt idx="0">
                  <c:v>Children under 1 years old</c:v>
                </c:pt>
                <c:pt idx="1">
                  <c:v>2 year olds</c:v>
                </c:pt>
                <c:pt idx="2">
                  <c:v>3 year olds and over</c:v>
                </c:pt>
              </c:strCache>
            </c:strRef>
          </c:cat>
          <c:val>
            <c:numRef>
              <c:f>Charts!$B$32:$D$32</c:f>
              <c:numCache>
                <c:formatCode>0.00</c:formatCode>
                <c:ptCount val="3"/>
                <c:pt idx="0">
                  <c:v>53</c:v>
                </c:pt>
                <c:pt idx="1">
                  <c:v>53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8E9-B72D-EEE978594C36}"/>
            </c:ext>
          </c:extLst>
        </c:ser>
        <c:ser>
          <c:idx val="1"/>
          <c:order val="1"/>
          <c:tx>
            <c:strRef>
              <c:f>Charts!$A$33</c:f>
              <c:strCache>
                <c:ptCount val="1"/>
                <c:pt idx="0">
                  <c:v>30 free hours increased fees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Charts!$B$31:$D$31</c:f>
              <c:strCache>
                <c:ptCount val="3"/>
                <c:pt idx="0">
                  <c:v>Children under 1 years old</c:v>
                </c:pt>
                <c:pt idx="1">
                  <c:v>2 year olds</c:v>
                </c:pt>
                <c:pt idx="2">
                  <c:v>3 year olds and over</c:v>
                </c:pt>
              </c:strCache>
            </c:strRef>
          </c:cat>
          <c:val>
            <c:numRef>
              <c:f>Charts!$B$33:$D$33</c:f>
              <c:numCache>
                <c:formatCode>0.00</c:formatCode>
                <c:ptCount val="3"/>
                <c:pt idx="0">
                  <c:v>66.381858930787573</c:v>
                </c:pt>
                <c:pt idx="1">
                  <c:v>66.381858930787573</c:v>
                </c:pt>
                <c:pt idx="2">
                  <c:v>25.04975808708965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8-48E9-B72D-EEE978594C36}"/>
            </c:ext>
          </c:extLst>
        </c:ser>
        <c:ser>
          <c:idx val="2"/>
          <c:order val="2"/>
          <c:tx>
            <c:strRef>
              <c:f>Charts!$A$34</c:f>
              <c:strCache>
                <c:ptCount val="1"/>
                <c:pt idx="0">
                  <c:v>30 free hours &amp; activity fees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Charts!$B$31:$D$31</c:f>
              <c:strCache>
                <c:ptCount val="3"/>
                <c:pt idx="0">
                  <c:v>Children under 1 years old</c:v>
                </c:pt>
                <c:pt idx="1">
                  <c:v>2 year olds</c:v>
                </c:pt>
                <c:pt idx="2">
                  <c:v>3 year olds and over</c:v>
                </c:pt>
              </c:strCache>
            </c:strRef>
          </c:cat>
          <c:val>
            <c:numRef>
              <c:f>Charts!$B$34:$D$34</c:f>
              <c:numCache>
                <c:formatCode>0.00</c:formatCode>
                <c:ptCount val="3"/>
                <c:pt idx="0">
                  <c:v>97.337084634199584</c:v>
                </c:pt>
                <c:pt idx="1">
                  <c:v>75.168542317099792</c:v>
                </c:pt>
                <c:pt idx="2">
                  <c:v>34.779028211399861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8-48E9-B72D-EEE97859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2891512"/>
        <c:axId val="692891120"/>
      </c:barChart>
      <c:catAx>
        <c:axId val="692891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Age</a:t>
                </a:r>
                <a:r>
                  <a:rPr lang="en-GB" baseline="0"/>
                  <a:t> brackets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891120"/>
        <c:crosses val="autoZero"/>
        <c:auto val="1"/>
        <c:lblAlgn val="ctr"/>
        <c:lblOffset val="100"/>
        <c:noMultiLvlLbl val="0"/>
      </c:catAx>
      <c:valAx>
        <c:axId val="69289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Price charged per day after free hours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8.83796296296296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89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0</xdr:row>
      <xdr:rowOff>0</xdr:rowOff>
    </xdr:from>
    <xdr:to>
      <xdr:col>18</xdr:col>
      <xdr:colOff>400050</xdr:colOff>
      <xdr:row>4</xdr:row>
      <xdr:rowOff>305230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0"/>
          <a:ext cx="2828925" cy="1829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21</xdr:col>
      <xdr:colOff>47314</xdr:colOff>
      <xdr:row>4</xdr:row>
      <xdr:rowOff>552238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0" y="381000"/>
          <a:ext cx="2485714" cy="1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</xdr:row>
      <xdr:rowOff>57150</xdr:rowOff>
    </xdr:from>
    <xdr:to>
      <xdr:col>14</xdr:col>
      <xdr:colOff>409574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142874</xdr:colOff>
      <xdr:row>23</xdr:row>
      <xdr:rowOff>42861</xdr:rowOff>
    </xdr:from>
    <xdr:to>
      <xdr:col>14</xdr:col>
      <xdr:colOff>552449</xdr:colOff>
      <xdr:row>40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F49"/>
  <sheetViews>
    <sheetView topLeftCell="A29" workbookViewId="0">
      <selection activeCell="B21" sqref="B21"/>
    </sheetView>
  </sheetViews>
  <sheetFormatPr defaultRowHeight="15" x14ac:dyDescent="0.25"/>
  <cols>
    <col min="1" max="1" width="31.5703125" bestFit="1" customWidth="1"/>
    <col min="2" max="2" width="19" customWidth="1"/>
    <col min="3" max="3" width="15.28515625" customWidth="1"/>
  </cols>
  <sheetData>
    <row r="1" spans="1:6" x14ac:dyDescent="0.25">
      <c r="A1" s="3" t="s">
        <v>17</v>
      </c>
    </row>
    <row r="2" spans="1:6" x14ac:dyDescent="0.25">
      <c r="A2" t="s">
        <v>1</v>
      </c>
      <c r="B2">
        <v>10</v>
      </c>
    </row>
    <row r="4" spans="1:6" s="1" customFormat="1" ht="48" customHeight="1" x14ac:dyDescent="0.25">
      <c r="A4" s="15" t="s">
        <v>2</v>
      </c>
      <c r="B4" s="15">
        <v>0</v>
      </c>
      <c r="C4" s="15">
        <v>1</v>
      </c>
      <c r="D4" s="15">
        <v>2</v>
      </c>
      <c r="E4" s="15">
        <v>3</v>
      </c>
      <c r="F4" s="15">
        <v>4</v>
      </c>
    </row>
    <row r="5" spans="1:6" ht="30" x14ac:dyDescent="0.25">
      <c r="A5" s="1" t="s">
        <v>3</v>
      </c>
      <c r="B5">
        <v>1</v>
      </c>
      <c r="C5">
        <v>3</v>
      </c>
      <c r="D5">
        <v>2</v>
      </c>
      <c r="E5">
        <v>3</v>
      </c>
      <c r="F5">
        <v>1</v>
      </c>
    </row>
    <row r="6" spans="1:6" x14ac:dyDescent="0.25">
      <c r="A6" s="1" t="s">
        <v>70</v>
      </c>
      <c r="B6">
        <v>5</v>
      </c>
      <c r="C6">
        <v>4</v>
      </c>
      <c r="D6">
        <v>3</v>
      </c>
      <c r="E6">
        <v>1</v>
      </c>
      <c r="F6">
        <v>0</v>
      </c>
    </row>
    <row r="9" spans="1:6" x14ac:dyDescent="0.25">
      <c r="A9" t="s">
        <v>4</v>
      </c>
      <c r="B9">
        <v>53</v>
      </c>
    </row>
    <row r="10" spans="1:6" ht="30" x14ac:dyDescent="0.25">
      <c r="A10" s="1" t="s">
        <v>65</v>
      </c>
      <c r="B10">
        <v>50</v>
      </c>
    </row>
    <row r="12" spans="1:6" x14ac:dyDescent="0.25">
      <c r="A12" t="s">
        <v>5</v>
      </c>
      <c r="B12">
        <f>B14*B15</f>
        <v>20</v>
      </c>
    </row>
    <row r="13" spans="1:6" x14ac:dyDescent="0.25">
      <c r="A13" t="s">
        <v>6</v>
      </c>
      <c r="B13">
        <v>10</v>
      </c>
    </row>
    <row r="14" spans="1:6" x14ac:dyDescent="0.25">
      <c r="A14" t="s">
        <v>7</v>
      </c>
      <c r="B14">
        <v>4</v>
      </c>
    </row>
    <row r="15" spans="1:6" x14ac:dyDescent="0.25">
      <c r="A15" t="s">
        <v>8</v>
      </c>
      <c r="B15">
        <v>5</v>
      </c>
    </row>
    <row r="17" spans="1:2" x14ac:dyDescent="0.25">
      <c r="A17" t="s">
        <v>9</v>
      </c>
      <c r="B17">
        <v>6</v>
      </c>
    </row>
    <row r="19" spans="1:2" x14ac:dyDescent="0.25">
      <c r="A19" t="s">
        <v>10</v>
      </c>
    </row>
    <row r="20" spans="1:2" x14ac:dyDescent="0.25">
      <c r="A20" t="s">
        <v>11</v>
      </c>
      <c r="B20">
        <v>15</v>
      </c>
    </row>
    <row r="21" spans="1:2" x14ac:dyDescent="0.25">
      <c r="A21" t="s">
        <v>12</v>
      </c>
      <c r="B21">
        <v>30</v>
      </c>
    </row>
    <row r="23" spans="1:2" x14ac:dyDescent="0.25">
      <c r="A23" t="s">
        <v>71</v>
      </c>
      <c r="B23">
        <v>1</v>
      </c>
    </row>
    <row r="24" spans="1:2" x14ac:dyDescent="0.25">
      <c r="B24" s="9"/>
    </row>
    <row r="26" spans="1:2" x14ac:dyDescent="0.25">
      <c r="A26" s="3" t="s">
        <v>18</v>
      </c>
    </row>
    <row r="27" spans="1:2" x14ac:dyDescent="0.25">
      <c r="A27" t="s">
        <v>13</v>
      </c>
      <c r="B27">
        <v>2</v>
      </c>
    </row>
    <row r="28" spans="1:2" x14ac:dyDescent="0.25">
      <c r="A28" t="s">
        <v>14</v>
      </c>
      <c r="B28">
        <v>7.2</v>
      </c>
    </row>
    <row r="31" spans="1:2" x14ac:dyDescent="0.25">
      <c r="A31" t="s">
        <v>15</v>
      </c>
      <c r="B31">
        <v>100</v>
      </c>
    </row>
    <row r="32" spans="1:2" x14ac:dyDescent="0.25">
      <c r="A32" t="s">
        <v>72</v>
      </c>
      <c r="B32">
        <v>5</v>
      </c>
    </row>
    <row r="33" spans="1:4" x14ac:dyDescent="0.25">
      <c r="A33" t="s">
        <v>73</v>
      </c>
      <c r="B33">
        <v>20</v>
      </c>
    </row>
    <row r="36" spans="1:4" x14ac:dyDescent="0.25">
      <c r="A36" s="3" t="s">
        <v>67</v>
      </c>
    </row>
    <row r="37" spans="1:4" x14ac:dyDescent="0.25">
      <c r="C37" t="s">
        <v>33</v>
      </c>
    </row>
    <row r="38" spans="1:4" x14ac:dyDescent="0.25">
      <c r="A38" t="s">
        <v>16</v>
      </c>
      <c r="B38" s="2">
        <v>0.02</v>
      </c>
      <c r="C38" s="17">
        <f>(1+B38)^(1/12)-1</f>
        <v>1.6515813019202241E-3</v>
      </c>
    </row>
    <row r="39" spans="1:4" x14ac:dyDescent="0.25">
      <c r="A39" t="s">
        <v>27</v>
      </c>
      <c r="B39" s="8">
        <v>1.4999999999999999E-2</v>
      </c>
    </row>
    <row r="40" spans="1:4" x14ac:dyDescent="0.25">
      <c r="A40" t="s">
        <v>29</v>
      </c>
      <c r="B40">
        <v>4</v>
      </c>
    </row>
    <row r="44" spans="1:4" x14ac:dyDescent="0.25">
      <c r="A44" s="3" t="s">
        <v>50</v>
      </c>
    </row>
    <row r="46" spans="1:4" x14ac:dyDescent="0.25">
      <c r="B46" t="s">
        <v>53</v>
      </c>
      <c r="C46" t="s">
        <v>54</v>
      </c>
      <c r="D46" t="s">
        <v>55</v>
      </c>
    </row>
    <row r="47" spans="1:4" x14ac:dyDescent="0.25">
      <c r="A47" t="s">
        <v>52</v>
      </c>
      <c r="B47">
        <v>3</v>
      </c>
      <c r="C47">
        <v>1.5</v>
      </c>
      <c r="D47">
        <v>1</v>
      </c>
    </row>
    <row r="49" spans="1:2" x14ac:dyDescent="0.25">
      <c r="A49" t="s">
        <v>56</v>
      </c>
      <c r="B49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37"/>
  <sheetViews>
    <sheetView topLeftCell="A4" workbookViewId="0">
      <selection activeCell="B31" sqref="B31"/>
    </sheetView>
  </sheetViews>
  <sheetFormatPr defaultRowHeight="15" x14ac:dyDescent="0.25"/>
  <cols>
    <col min="1" max="1" width="11.5703125" bestFit="1" customWidth="1"/>
    <col min="8" max="8" width="11.5703125" bestFit="1" customWidth="1"/>
    <col min="16" max="16" width="12.42578125" style="19" customWidth="1"/>
  </cols>
  <sheetData>
    <row r="1" spans="1:16" x14ac:dyDescent="0.25">
      <c r="I1" t="s">
        <v>20</v>
      </c>
    </row>
    <row r="2" spans="1:16" x14ac:dyDescent="0.25">
      <c r="B2" t="s">
        <v>91</v>
      </c>
      <c r="I2" t="s">
        <v>0</v>
      </c>
    </row>
    <row r="3" spans="1:16" ht="78" customHeight="1" x14ac:dyDescent="0.25">
      <c r="A3" t="s">
        <v>19</v>
      </c>
      <c r="B3">
        <v>0</v>
      </c>
      <c r="C3">
        <v>1</v>
      </c>
      <c r="D3">
        <v>2</v>
      </c>
      <c r="E3">
        <v>3</v>
      </c>
      <c r="F3">
        <v>4</v>
      </c>
      <c r="H3" t="s">
        <v>19</v>
      </c>
      <c r="I3">
        <v>0</v>
      </c>
      <c r="J3">
        <v>1</v>
      </c>
      <c r="K3">
        <v>2</v>
      </c>
      <c r="L3">
        <v>3</v>
      </c>
      <c r="M3">
        <v>4</v>
      </c>
      <c r="N3" s="23" t="s">
        <v>78</v>
      </c>
      <c r="O3" s="23" t="s">
        <v>77</v>
      </c>
      <c r="P3" s="20" t="s">
        <v>79</v>
      </c>
    </row>
    <row r="4" spans="1:16" x14ac:dyDescent="0.25">
      <c r="A4" s="4">
        <v>43466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H4" s="4">
        <v>43466</v>
      </c>
      <c r="I4" s="5">
        <f>Parameters!B5</f>
        <v>1</v>
      </c>
      <c r="J4" s="5">
        <f>Parameters!C5</f>
        <v>3</v>
      </c>
      <c r="K4" s="5">
        <f>Parameters!D5</f>
        <v>2</v>
      </c>
      <c r="L4" s="5">
        <f>Parameters!E5</f>
        <v>3</v>
      </c>
      <c r="M4" s="5">
        <f>Parameters!F5</f>
        <v>1</v>
      </c>
      <c r="N4">
        <f>SUMPRODUCT(I4:M4,Parameters!$B$6:$F$6)*Parameters!$B$15*Parameters!$B$14</f>
        <v>520</v>
      </c>
      <c r="O4">
        <f>SUM(I4:M4)</f>
        <v>10</v>
      </c>
      <c r="P4" s="21" t="s">
        <v>80</v>
      </c>
    </row>
    <row r="5" spans="1:16" x14ac:dyDescent="0.25">
      <c r="A5" s="4">
        <v>43497</v>
      </c>
      <c r="B5">
        <f>IF(MONTH($A5)=Parameters!$B$17,'Ages of children &amp; diapers used'!B4+1,'Ages of children &amp; diapers used'!B4)</f>
        <v>0</v>
      </c>
      <c r="C5">
        <f>IF(MONTH($A5)=Parameters!$B$17,'Ages of children &amp; diapers used'!C4+1,'Ages of children &amp; diapers used'!C4)</f>
        <v>1</v>
      </c>
      <c r="D5">
        <f>IF(MONTH($A5)=Parameters!$B$17,'Ages of children &amp; diapers used'!D4+1,'Ages of children &amp; diapers used'!D4)</f>
        <v>2</v>
      </c>
      <c r="E5">
        <f>IF(MONTH($A5)=Parameters!$B$17,'Ages of children &amp; diapers used'!E4+1,'Ages of children &amp; diapers used'!E4)</f>
        <v>3</v>
      </c>
      <c r="F5">
        <f>IF(MONTH($A5)=Parameters!$B$17,'Ages of children &amp; diapers used'!F4+1,'Ages of children &amp; diapers used'!F4)</f>
        <v>4</v>
      </c>
      <c r="H5" s="4">
        <v>43497</v>
      </c>
      <c r="I5">
        <f t="shared" ref="I5:I8" si="0">IF(I$3=0,IF(B5=B4,I4,0),IF(B5=B4,I4,H4))</f>
        <v>1</v>
      </c>
      <c r="J5">
        <f t="shared" ref="J5:J27" si="1">IF(J$3=0,IF(C5=C4,J4,0),IF(C5=C4,J4,I4))</f>
        <v>3</v>
      </c>
      <c r="K5">
        <f t="shared" ref="K5:K27" si="2">IF(K$3=0,IF(D5=D4,K4,0),IF(D5=D4,K4,J4))</f>
        <v>2</v>
      </c>
      <c r="L5">
        <f t="shared" ref="L5:L27" si="3">IF(L$3=0,IF(E5=E4,L4,0),IF(E5=E4,L4,K4))</f>
        <v>3</v>
      </c>
      <c r="M5">
        <f t="shared" ref="M5:M27" si="4">IF(M$3=0,IF(F5=F4,M4,0),IF(F5=F4,M4,L4))</f>
        <v>1</v>
      </c>
      <c r="N5">
        <f>SUMPRODUCT(I5:M5,Parameters!$B$6:$F$6)*Parameters!$B$15*Parameters!$B$14</f>
        <v>520</v>
      </c>
      <c r="O5">
        <f t="shared" ref="O5:O27" si="5">SUM(I5:M5)</f>
        <v>10</v>
      </c>
      <c r="P5" s="22" t="str">
        <f>IF(O5&gt;O4,"Error","OK")</f>
        <v>OK</v>
      </c>
    </row>
    <row r="6" spans="1:16" x14ac:dyDescent="0.25">
      <c r="A6" s="4">
        <v>43525</v>
      </c>
      <c r="B6">
        <f>IF(MONTH($A6)=Parameters!$B$17,'Ages of children &amp; diapers used'!B5+1,'Ages of children &amp; diapers used'!B5)</f>
        <v>0</v>
      </c>
      <c r="C6">
        <f>IF(MONTH($A6)=Parameters!$B$17,'Ages of children &amp; diapers used'!C5+1,'Ages of children &amp; diapers used'!C5)</f>
        <v>1</v>
      </c>
      <c r="D6">
        <f>IF(MONTH($A6)=Parameters!$B$17,'Ages of children &amp; diapers used'!D5+1,'Ages of children &amp; diapers used'!D5)</f>
        <v>2</v>
      </c>
      <c r="E6">
        <f>IF(MONTH($A6)=Parameters!$B$17,'Ages of children &amp; diapers used'!E5+1,'Ages of children &amp; diapers used'!E5)</f>
        <v>3</v>
      </c>
      <c r="F6">
        <f>IF(MONTH($A6)=Parameters!$B$17,'Ages of children &amp; diapers used'!F5+1,'Ages of children &amp; diapers used'!F5)</f>
        <v>4</v>
      </c>
      <c r="H6" s="4">
        <v>43525</v>
      </c>
      <c r="I6">
        <f t="shared" si="0"/>
        <v>1</v>
      </c>
      <c r="J6">
        <f t="shared" si="1"/>
        <v>3</v>
      </c>
      <c r="K6">
        <f t="shared" si="2"/>
        <v>2</v>
      </c>
      <c r="L6">
        <f t="shared" si="3"/>
        <v>3</v>
      </c>
      <c r="M6">
        <f t="shared" si="4"/>
        <v>1</v>
      </c>
      <c r="N6">
        <f>SUMPRODUCT(I6:M6,Parameters!$B$6:$F$6)*Parameters!$B$15*Parameters!$B$14</f>
        <v>520</v>
      </c>
      <c r="O6">
        <f t="shared" si="5"/>
        <v>10</v>
      </c>
      <c r="P6" s="22" t="str">
        <f t="shared" ref="P6:P27" si="6">IF(O6&gt;O5,"Error","OK")</f>
        <v>OK</v>
      </c>
    </row>
    <row r="7" spans="1:16" x14ac:dyDescent="0.25">
      <c r="A7" s="4">
        <v>43556</v>
      </c>
      <c r="B7">
        <f>IF(MONTH($A7)=Parameters!$B$17,'Ages of children &amp; diapers used'!B6+1,'Ages of children &amp; diapers used'!B6)</f>
        <v>0</v>
      </c>
      <c r="C7">
        <f>IF(MONTH($A7)=Parameters!$B$17,'Ages of children &amp; diapers used'!C6+1,'Ages of children &amp; diapers used'!C6)</f>
        <v>1</v>
      </c>
      <c r="D7">
        <f>IF(MONTH($A7)=Parameters!$B$17,'Ages of children &amp; diapers used'!D6+1,'Ages of children &amp; diapers used'!D6)</f>
        <v>2</v>
      </c>
      <c r="E7">
        <f>IF(MONTH($A7)=Parameters!$B$17,'Ages of children &amp; diapers used'!E6+1,'Ages of children &amp; diapers used'!E6)</f>
        <v>3</v>
      </c>
      <c r="F7">
        <f>IF(MONTH($A7)=Parameters!$B$17,'Ages of children &amp; diapers used'!F6+1,'Ages of children &amp; diapers used'!F6)</f>
        <v>4</v>
      </c>
      <c r="H7" s="4">
        <v>43556</v>
      </c>
      <c r="I7">
        <f t="shared" si="0"/>
        <v>1</v>
      </c>
      <c r="J7">
        <f t="shared" si="1"/>
        <v>3</v>
      </c>
      <c r="K7">
        <f t="shared" si="2"/>
        <v>2</v>
      </c>
      <c r="L7">
        <f t="shared" si="3"/>
        <v>3</v>
      </c>
      <c r="M7">
        <f t="shared" si="4"/>
        <v>1</v>
      </c>
      <c r="N7">
        <f>SUMPRODUCT(I7:M7,Parameters!$B$6:$F$6)*Parameters!$B$15*Parameters!$B$14</f>
        <v>520</v>
      </c>
      <c r="O7">
        <f t="shared" si="5"/>
        <v>10</v>
      </c>
      <c r="P7" s="22" t="str">
        <f t="shared" si="6"/>
        <v>OK</v>
      </c>
    </row>
    <row r="8" spans="1:16" x14ac:dyDescent="0.25">
      <c r="A8" s="4">
        <v>43586</v>
      </c>
      <c r="B8">
        <f>IF(MONTH($A8)=Parameters!$B$17,'Ages of children &amp; diapers used'!B7+1,'Ages of children &amp; diapers used'!B7)</f>
        <v>0</v>
      </c>
      <c r="C8">
        <f>IF(MONTH($A8)=Parameters!$B$17,'Ages of children &amp; diapers used'!C7+1,'Ages of children &amp; diapers used'!C7)</f>
        <v>1</v>
      </c>
      <c r="D8">
        <f>IF(MONTH($A8)=Parameters!$B$17,'Ages of children &amp; diapers used'!D7+1,'Ages of children &amp; diapers used'!D7)</f>
        <v>2</v>
      </c>
      <c r="E8">
        <f>IF(MONTH($A8)=Parameters!$B$17,'Ages of children &amp; diapers used'!E7+1,'Ages of children &amp; diapers used'!E7)</f>
        <v>3</v>
      </c>
      <c r="F8">
        <f>IF(MONTH($A8)=Parameters!$B$17,'Ages of children &amp; diapers used'!F7+1,'Ages of children &amp; diapers used'!F7)</f>
        <v>4</v>
      </c>
      <c r="H8" s="4">
        <v>43586</v>
      </c>
      <c r="I8">
        <f t="shared" si="0"/>
        <v>1</v>
      </c>
      <c r="J8">
        <f t="shared" si="1"/>
        <v>3</v>
      </c>
      <c r="K8">
        <f t="shared" si="2"/>
        <v>2</v>
      </c>
      <c r="L8">
        <f t="shared" si="3"/>
        <v>3</v>
      </c>
      <c r="M8">
        <f t="shared" si="4"/>
        <v>1</v>
      </c>
      <c r="N8">
        <f>SUMPRODUCT(I8:M8,Parameters!$B$6:$F$6)*Parameters!$B$15*Parameters!$B$14</f>
        <v>520</v>
      </c>
      <c r="O8">
        <f t="shared" si="5"/>
        <v>10</v>
      </c>
      <c r="P8" s="22" t="str">
        <f t="shared" si="6"/>
        <v>OK</v>
      </c>
    </row>
    <row r="9" spans="1:16" x14ac:dyDescent="0.25">
      <c r="A9" s="4">
        <v>43617</v>
      </c>
      <c r="B9">
        <f>IF(MONTH($A9)=Parameters!$B$17,'Ages of children &amp; diapers used'!B8+1,'Ages of children &amp; diapers used'!B8)</f>
        <v>1</v>
      </c>
      <c r="C9">
        <f>IF(MONTH($A9)=Parameters!$B$17,'Ages of children &amp; diapers used'!C8+1,'Ages of children &amp; diapers used'!C8)</f>
        <v>2</v>
      </c>
      <c r="D9">
        <f>IF(MONTH($A9)=Parameters!$B$17,'Ages of children &amp; diapers used'!D8+1,'Ages of children &amp; diapers used'!D8)</f>
        <v>3</v>
      </c>
      <c r="E9">
        <f>IF(MONTH($A9)=Parameters!$B$17,'Ages of children &amp; diapers used'!E8+1,'Ages of children &amp; diapers used'!E8)</f>
        <v>4</v>
      </c>
      <c r="F9">
        <f>IF(MONTH($A9)=Parameters!$B$17,'Ages of children &amp; diapers used'!F8+1,'Ages of children &amp; diapers used'!F8)</f>
        <v>5</v>
      </c>
      <c r="H9" s="4">
        <v>43617</v>
      </c>
      <c r="I9">
        <f>IF(I$3=0,IF(B9=B8,I8,0),IF(B9=B8,I8,H8))</f>
        <v>0</v>
      </c>
      <c r="J9">
        <f t="shared" si="1"/>
        <v>1</v>
      </c>
      <c r="K9">
        <f t="shared" si="2"/>
        <v>3</v>
      </c>
      <c r="L9">
        <f t="shared" si="3"/>
        <v>2</v>
      </c>
      <c r="M9">
        <f t="shared" si="4"/>
        <v>3</v>
      </c>
      <c r="N9">
        <f>SUMPRODUCT(I9:M9,Parameters!$B$6:$F$6)*Parameters!$B$15*Parameters!$B$14</f>
        <v>300</v>
      </c>
      <c r="O9">
        <f t="shared" si="5"/>
        <v>9</v>
      </c>
      <c r="P9" s="22" t="str">
        <f t="shared" si="6"/>
        <v>OK</v>
      </c>
    </row>
    <row r="10" spans="1:16" x14ac:dyDescent="0.25">
      <c r="A10" s="4">
        <v>43647</v>
      </c>
      <c r="B10">
        <f>IF(MONTH($A10)=Parameters!$B$17,'Ages of children &amp; diapers used'!B9+1,'Ages of children &amp; diapers used'!B9)</f>
        <v>1</v>
      </c>
      <c r="C10">
        <f>IF(MONTH($A10)=Parameters!$B$17,'Ages of children &amp; diapers used'!C9+1,'Ages of children &amp; diapers used'!C9)</f>
        <v>2</v>
      </c>
      <c r="D10">
        <f>IF(MONTH($A10)=Parameters!$B$17,'Ages of children &amp; diapers used'!D9+1,'Ages of children &amp; diapers used'!D9)</f>
        <v>3</v>
      </c>
      <c r="E10">
        <f>IF(MONTH($A10)=Parameters!$B$17,'Ages of children &amp; diapers used'!E9+1,'Ages of children &amp; diapers used'!E9)</f>
        <v>4</v>
      </c>
      <c r="F10">
        <f>IF(MONTH($A10)=Parameters!$B$17,'Ages of children &amp; diapers used'!F9+1,'Ages of children &amp; diapers used'!F9)</f>
        <v>5</v>
      </c>
      <c r="H10" s="4">
        <v>43647</v>
      </c>
      <c r="I10">
        <f t="shared" ref="I10:I27" si="7">IF(I$3=0,IF(B10=B9,I9,0),IF(B10=B9,I9,H9))</f>
        <v>0</v>
      </c>
      <c r="J10">
        <f t="shared" si="1"/>
        <v>1</v>
      </c>
      <c r="K10">
        <f t="shared" si="2"/>
        <v>3</v>
      </c>
      <c r="L10">
        <f t="shared" si="3"/>
        <v>2</v>
      </c>
      <c r="M10">
        <f t="shared" si="4"/>
        <v>3</v>
      </c>
      <c r="N10">
        <f>SUMPRODUCT(I10:M10,Parameters!$B$6:$F$6)*Parameters!$B$15*Parameters!$B$14</f>
        <v>300</v>
      </c>
      <c r="O10">
        <f t="shared" si="5"/>
        <v>9</v>
      </c>
      <c r="P10" s="22" t="str">
        <f t="shared" si="6"/>
        <v>OK</v>
      </c>
    </row>
    <row r="11" spans="1:16" x14ac:dyDescent="0.25">
      <c r="A11" s="4">
        <v>43678</v>
      </c>
      <c r="B11">
        <f>IF(MONTH($A11)=Parameters!$B$17,'Ages of children &amp; diapers used'!B10+1,'Ages of children &amp; diapers used'!B10)</f>
        <v>1</v>
      </c>
      <c r="C11">
        <f>IF(MONTH($A11)=Parameters!$B$17,'Ages of children &amp; diapers used'!C10+1,'Ages of children &amp; diapers used'!C10)</f>
        <v>2</v>
      </c>
      <c r="D11">
        <f>IF(MONTH($A11)=Parameters!$B$17,'Ages of children &amp; diapers used'!D10+1,'Ages of children &amp; diapers used'!D10)</f>
        <v>3</v>
      </c>
      <c r="E11">
        <f>IF(MONTH($A11)=Parameters!$B$17,'Ages of children &amp; diapers used'!E10+1,'Ages of children &amp; diapers used'!E10)</f>
        <v>4</v>
      </c>
      <c r="F11">
        <f>IF(MONTH($A11)=Parameters!$B$17,'Ages of children &amp; diapers used'!F10+1,'Ages of children &amp; diapers used'!F10)</f>
        <v>5</v>
      </c>
      <c r="H11" s="4">
        <v>43678</v>
      </c>
      <c r="I11">
        <f t="shared" si="7"/>
        <v>0</v>
      </c>
      <c r="J11">
        <f t="shared" si="1"/>
        <v>1</v>
      </c>
      <c r="K11">
        <f t="shared" si="2"/>
        <v>3</v>
      </c>
      <c r="L11">
        <f t="shared" si="3"/>
        <v>2</v>
      </c>
      <c r="M11">
        <f t="shared" si="4"/>
        <v>3</v>
      </c>
      <c r="N11">
        <f>SUMPRODUCT(I11:M11,Parameters!$B$6:$F$6)*Parameters!$B$15*Parameters!$B$14</f>
        <v>300</v>
      </c>
      <c r="O11">
        <f t="shared" si="5"/>
        <v>9</v>
      </c>
      <c r="P11" s="22" t="str">
        <f t="shared" si="6"/>
        <v>OK</v>
      </c>
    </row>
    <row r="12" spans="1:16" x14ac:dyDescent="0.25">
      <c r="A12" s="4">
        <v>43709</v>
      </c>
      <c r="B12">
        <f>IF(MONTH($A12)=Parameters!$B$17,'Ages of children &amp; diapers used'!B11+1,'Ages of children &amp; diapers used'!B11)</f>
        <v>1</v>
      </c>
      <c r="C12">
        <f>IF(MONTH($A12)=Parameters!$B$17,'Ages of children &amp; diapers used'!C11+1,'Ages of children &amp; diapers used'!C11)</f>
        <v>2</v>
      </c>
      <c r="D12">
        <f>IF(MONTH($A12)=Parameters!$B$17,'Ages of children &amp; diapers used'!D11+1,'Ages of children &amp; diapers used'!D11)</f>
        <v>3</v>
      </c>
      <c r="E12">
        <f>IF(MONTH($A12)=Parameters!$B$17,'Ages of children &amp; diapers used'!E11+1,'Ages of children &amp; diapers used'!E11)</f>
        <v>4</v>
      </c>
      <c r="F12">
        <f>IF(MONTH($A12)=Parameters!$B$17,'Ages of children &amp; diapers used'!F11+1,'Ages of children &amp; diapers used'!F11)</f>
        <v>5</v>
      </c>
      <c r="H12" s="4">
        <v>43709</v>
      </c>
      <c r="I12">
        <f t="shared" si="7"/>
        <v>0</v>
      </c>
      <c r="J12">
        <f t="shared" si="1"/>
        <v>1</v>
      </c>
      <c r="K12">
        <f t="shared" si="2"/>
        <v>3</v>
      </c>
      <c r="L12">
        <f t="shared" si="3"/>
        <v>2</v>
      </c>
      <c r="M12">
        <f t="shared" si="4"/>
        <v>3</v>
      </c>
      <c r="N12">
        <f>SUMPRODUCT(I12:M12,Parameters!$B$6:$F$6)*Parameters!$B$15*Parameters!$B$14</f>
        <v>300</v>
      </c>
      <c r="O12">
        <f t="shared" si="5"/>
        <v>9</v>
      </c>
      <c r="P12" s="22" t="str">
        <f t="shared" si="6"/>
        <v>OK</v>
      </c>
    </row>
    <row r="13" spans="1:16" x14ac:dyDescent="0.25">
      <c r="A13" s="4">
        <v>43739</v>
      </c>
      <c r="B13">
        <f>IF(MONTH($A13)=Parameters!$B$17,'Ages of children &amp; diapers used'!B12+1,'Ages of children &amp; diapers used'!B12)</f>
        <v>1</v>
      </c>
      <c r="C13">
        <f>IF(MONTH($A13)=Parameters!$B$17,'Ages of children &amp; diapers used'!C12+1,'Ages of children &amp; diapers used'!C12)</f>
        <v>2</v>
      </c>
      <c r="D13">
        <f>IF(MONTH($A13)=Parameters!$B$17,'Ages of children &amp; diapers used'!D12+1,'Ages of children &amp; diapers used'!D12)</f>
        <v>3</v>
      </c>
      <c r="E13">
        <f>IF(MONTH($A13)=Parameters!$B$17,'Ages of children &amp; diapers used'!E12+1,'Ages of children &amp; diapers used'!E12)</f>
        <v>4</v>
      </c>
      <c r="F13">
        <f>IF(MONTH($A13)=Parameters!$B$17,'Ages of children &amp; diapers used'!F12+1,'Ages of children &amp; diapers used'!F12)</f>
        <v>5</v>
      </c>
      <c r="H13" s="4">
        <v>43739</v>
      </c>
      <c r="I13">
        <f t="shared" si="7"/>
        <v>0</v>
      </c>
      <c r="J13">
        <f t="shared" si="1"/>
        <v>1</v>
      </c>
      <c r="K13">
        <f t="shared" si="2"/>
        <v>3</v>
      </c>
      <c r="L13">
        <f t="shared" si="3"/>
        <v>2</v>
      </c>
      <c r="M13">
        <f t="shared" si="4"/>
        <v>3</v>
      </c>
      <c r="N13">
        <f>SUMPRODUCT(I13:M13,Parameters!$B$6:$F$6)*Parameters!$B$15*Parameters!$B$14</f>
        <v>300</v>
      </c>
      <c r="O13">
        <f t="shared" si="5"/>
        <v>9</v>
      </c>
      <c r="P13" s="22" t="str">
        <f t="shared" si="6"/>
        <v>OK</v>
      </c>
    </row>
    <row r="14" spans="1:16" x14ac:dyDescent="0.25">
      <c r="A14" s="4">
        <v>43770</v>
      </c>
      <c r="B14">
        <f>IF(MONTH($A14)=Parameters!$B$17,'Ages of children &amp; diapers used'!B13+1,'Ages of children &amp; diapers used'!B13)</f>
        <v>1</v>
      </c>
      <c r="C14">
        <f>IF(MONTH($A14)=Parameters!$B$17,'Ages of children &amp; diapers used'!C13+1,'Ages of children &amp; diapers used'!C13)</f>
        <v>2</v>
      </c>
      <c r="D14">
        <f>IF(MONTH($A14)=Parameters!$B$17,'Ages of children &amp; diapers used'!D13+1,'Ages of children &amp; diapers used'!D13)</f>
        <v>3</v>
      </c>
      <c r="E14">
        <f>IF(MONTH($A14)=Parameters!$B$17,'Ages of children &amp; diapers used'!E13+1,'Ages of children &amp; diapers used'!E13)</f>
        <v>4</v>
      </c>
      <c r="F14">
        <f>IF(MONTH($A14)=Parameters!$B$17,'Ages of children &amp; diapers used'!F13+1,'Ages of children &amp; diapers used'!F13)</f>
        <v>5</v>
      </c>
      <c r="H14" s="4">
        <v>43770</v>
      </c>
      <c r="I14">
        <f t="shared" si="7"/>
        <v>0</v>
      </c>
      <c r="J14">
        <f t="shared" si="1"/>
        <v>1</v>
      </c>
      <c r="K14">
        <f t="shared" si="2"/>
        <v>3</v>
      </c>
      <c r="L14">
        <f t="shared" si="3"/>
        <v>2</v>
      </c>
      <c r="M14">
        <f t="shared" si="4"/>
        <v>3</v>
      </c>
      <c r="N14">
        <f>SUMPRODUCT(I14:M14,Parameters!$B$6:$F$6)*Parameters!$B$15*Parameters!$B$14</f>
        <v>300</v>
      </c>
      <c r="O14">
        <f t="shared" si="5"/>
        <v>9</v>
      </c>
      <c r="P14" s="22" t="str">
        <f>IF(O14&gt;O13,"Error","OK")</f>
        <v>OK</v>
      </c>
    </row>
    <row r="15" spans="1:16" x14ac:dyDescent="0.25">
      <c r="A15" s="4">
        <v>43800</v>
      </c>
      <c r="B15">
        <f>IF(MONTH($A15)=Parameters!$B$17,'Ages of children &amp; diapers used'!B14+1,'Ages of children &amp; diapers used'!B14)</f>
        <v>1</v>
      </c>
      <c r="C15">
        <f>IF(MONTH($A15)=Parameters!$B$17,'Ages of children &amp; diapers used'!C14+1,'Ages of children &amp; diapers used'!C14)</f>
        <v>2</v>
      </c>
      <c r="D15">
        <f>IF(MONTH($A15)=Parameters!$B$17,'Ages of children &amp; diapers used'!D14+1,'Ages of children &amp; diapers used'!D14)</f>
        <v>3</v>
      </c>
      <c r="E15">
        <f>IF(MONTH($A15)=Parameters!$B$17,'Ages of children &amp; diapers used'!E14+1,'Ages of children &amp; diapers used'!E14)</f>
        <v>4</v>
      </c>
      <c r="F15">
        <f>IF(MONTH($A15)=Parameters!$B$17,'Ages of children &amp; diapers used'!F14+1,'Ages of children &amp; diapers used'!F14)</f>
        <v>5</v>
      </c>
      <c r="H15" s="4">
        <v>43800</v>
      </c>
      <c r="I15">
        <f t="shared" si="7"/>
        <v>0</v>
      </c>
      <c r="J15">
        <f t="shared" si="1"/>
        <v>1</v>
      </c>
      <c r="K15">
        <f t="shared" si="2"/>
        <v>3</v>
      </c>
      <c r="L15">
        <f t="shared" si="3"/>
        <v>2</v>
      </c>
      <c r="M15">
        <f t="shared" si="4"/>
        <v>3</v>
      </c>
      <c r="N15">
        <f>SUMPRODUCT(I15:M15,Parameters!$B$6:$F$6)*Parameters!$B$15*Parameters!$B$14</f>
        <v>300</v>
      </c>
      <c r="O15">
        <f t="shared" si="5"/>
        <v>9</v>
      </c>
      <c r="P15" s="22" t="str">
        <f t="shared" si="6"/>
        <v>OK</v>
      </c>
    </row>
    <row r="16" spans="1:16" x14ac:dyDescent="0.25">
      <c r="A16" s="4">
        <v>43831</v>
      </c>
      <c r="B16">
        <f>IF(MONTH($A16)=Parameters!$B$17,'Ages of children &amp; diapers used'!B15+1,'Ages of children &amp; diapers used'!B15)</f>
        <v>1</v>
      </c>
      <c r="C16">
        <f>IF(MONTH($A16)=Parameters!$B$17,'Ages of children &amp; diapers used'!C15+1,'Ages of children &amp; diapers used'!C15)</f>
        <v>2</v>
      </c>
      <c r="D16">
        <f>IF(MONTH($A16)=Parameters!$B$17,'Ages of children &amp; diapers used'!D15+1,'Ages of children &amp; diapers used'!D15)</f>
        <v>3</v>
      </c>
      <c r="E16">
        <f>IF(MONTH($A16)=Parameters!$B$17,'Ages of children &amp; diapers used'!E15+1,'Ages of children &amp; diapers used'!E15)</f>
        <v>4</v>
      </c>
      <c r="F16">
        <f>IF(MONTH($A16)=Parameters!$B$17,'Ages of children &amp; diapers used'!F15+1,'Ages of children &amp; diapers used'!F15)</f>
        <v>5</v>
      </c>
      <c r="H16" s="4">
        <v>43831</v>
      </c>
      <c r="I16">
        <f t="shared" si="7"/>
        <v>0</v>
      </c>
      <c r="J16">
        <f t="shared" si="1"/>
        <v>1</v>
      </c>
      <c r="K16">
        <f t="shared" si="2"/>
        <v>3</v>
      </c>
      <c r="L16">
        <f t="shared" si="3"/>
        <v>2</v>
      </c>
      <c r="M16">
        <f t="shared" si="4"/>
        <v>3</v>
      </c>
      <c r="N16">
        <f>SUMPRODUCT(I16:M16,Parameters!$B$6:$F$6)*Parameters!$B$15*Parameters!$B$14</f>
        <v>300</v>
      </c>
      <c r="O16">
        <f t="shared" si="5"/>
        <v>9</v>
      </c>
      <c r="P16" s="22" t="str">
        <f t="shared" si="6"/>
        <v>OK</v>
      </c>
    </row>
    <row r="17" spans="1:16" x14ac:dyDescent="0.25">
      <c r="A17" s="4">
        <v>43862</v>
      </c>
      <c r="B17">
        <f>IF(MONTH($A17)=Parameters!$B$17,'Ages of children &amp; diapers used'!B16+1,'Ages of children &amp; diapers used'!B16)</f>
        <v>1</v>
      </c>
      <c r="C17">
        <f>IF(MONTH($A17)=Parameters!$B$17,'Ages of children &amp; diapers used'!C16+1,'Ages of children &amp; diapers used'!C16)</f>
        <v>2</v>
      </c>
      <c r="D17">
        <f>IF(MONTH($A17)=Parameters!$B$17,'Ages of children &amp; diapers used'!D16+1,'Ages of children &amp; diapers used'!D16)</f>
        <v>3</v>
      </c>
      <c r="E17">
        <f>IF(MONTH($A17)=Parameters!$B$17,'Ages of children &amp; diapers used'!E16+1,'Ages of children &amp; diapers used'!E16)</f>
        <v>4</v>
      </c>
      <c r="F17">
        <f>IF(MONTH($A17)=Parameters!$B$17,'Ages of children &amp; diapers used'!F16+1,'Ages of children &amp; diapers used'!F16)</f>
        <v>5</v>
      </c>
      <c r="H17" s="4">
        <v>43862</v>
      </c>
      <c r="I17">
        <f t="shared" si="7"/>
        <v>0</v>
      </c>
      <c r="J17">
        <f t="shared" si="1"/>
        <v>1</v>
      </c>
      <c r="K17">
        <f t="shared" si="2"/>
        <v>3</v>
      </c>
      <c r="L17">
        <f t="shared" si="3"/>
        <v>2</v>
      </c>
      <c r="M17">
        <f t="shared" si="4"/>
        <v>3</v>
      </c>
      <c r="N17">
        <f>SUMPRODUCT(I17:M17,Parameters!$B$6:$F$6)*Parameters!$B$15*Parameters!$B$14</f>
        <v>300</v>
      </c>
      <c r="O17">
        <f t="shared" si="5"/>
        <v>9</v>
      </c>
      <c r="P17" s="22" t="str">
        <f t="shared" si="6"/>
        <v>OK</v>
      </c>
    </row>
    <row r="18" spans="1:16" x14ac:dyDescent="0.25">
      <c r="A18" s="4">
        <v>43891</v>
      </c>
      <c r="B18">
        <f>IF(MONTH($A18)=Parameters!$B$17,'Ages of children &amp; diapers used'!B17+1,'Ages of children &amp; diapers used'!B17)</f>
        <v>1</v>
      </c>
      <c r="C18">
        <f>IF(MONTH($A18)=Parameters!$B$17,'Ages of children &amp; diapers used'!C17+1,'Ages of children &amp; diapers used'!C17)</f>
        <v>2</v>
      </c>
      <c r="D18">
        <f>IF(MONTH($A18)=Parameters!$B$17,'Ages of children &amp; diapers used'!D17+1,'Ages of children &amp; diapers used'!D17)</f>
        <v>3</v>
      </c>
      <c r="E18">
        <f>IF(MONTH($A18)=Parameters!$B$17,'Ages of children &amp; diapers used'!E17+1,'Ages of children &amp; diapers used'!E17)</f>
        <v>4</v>
      </c>
      <c r="F18">
        <f>IF(MONTH($A18)=Parameters!$B$17,'Ages of children &amp; diapers used'!F17+1,'Ages of children &amp; diapers used'!F17)</f>
        <v>5</v>
      </c>
      <c r="H18" s="4">
        <v>43891</v>
      </c>
      <c r="I18">
        <f t="shared" si="7"/>
        <v>0</v>
      </c>
      <c r="J18">
        <f t="shared" si="1"/>
        <v>1</v>
      </c>
      <c r="K18">
        <f t="shared" si="2"/>
        <v>3</v>
      </c>
      <c r="L18">
        <f t="shared" si="3"/>
        <v>2</v>
      </c>
      <c r="M18">
        <f t="shared" si="4"/>
        <v>3</v>
      </c>
      <c r="N18">
        <f>SUMPRODUCT(I18:M18,Parameters!$B$6:$F$6)*Parameters!$B$15*Parameters!$B$14</f>
        <v>300</v>
      </c>
      <c r="O18">
        <f t="shared" si="5"/>
        <v>9</v>
      </c>
      <c r="P18" s="22" t="str">
        <f t="shared" si="6"/>
        <v>OK</v>
      </c>
    </row>
    <row r="19" spans="1:16" x14ac:dyDescent="0.25">
      <c r="A19" s="4">
        <v>43922</v>
      </c>
      <c r="B19">
        <f>IF(MONTH($A19)=Parameters!$B$17,'Ages of children &amp; diapers used'!B18+1,'Ages of children &amp; diapers used'!B18)</f>
        <v>1</v>
      </c>
      <c r="C19">
        <f>IF(MONTH($A19)=Parameters!$B$17,'Ages of children &amp; diapers used'!C18+1,'Ages of children &amp; diapers used'!C18)</f>
        <v>2</v>
      </c>
      <c r="D19">
        <f>IF(MONTH($A19)=Parameters!$B$17,'Ages of children &amp; diapers used'!D18+1,'Ages of children &amp; diapers used'!D18)</f>
        <v>3</v>
      </c>
      <c r="E19">
        <f>IF(MONTH($A19)=Parameters!$B$17,'Ages of children &amp; diapers used'!E18+1,'Ages of children &amp; diapers used'!E18)</f>
        <v>4</v>
      </c>
      <c r="F19">
        <f>IF(MONTH($A19)=Parameters!$B$17,'Ages of children &amp; diapers used'!F18+1,'Ages of children &amp; diapers used'!F18)</f>
        <v>5</v>
      </c>
      <c r="H19" s="4">
        <v>43922</v>
      </c>
      <c r="I19">
        <f t="shared" si="7"/>
        <v>0</v>
      </c>
      <c r="J19">
        <f t="shared" si="1"/>
        <v>1</v>
      </c>
      <c r="K19">
        <f t="shared" si="2"/>
        <v>3</v>
      </c>
      <c r="L19">
        <f t="shared" si="3"/>
        <v>2</v>
      </c>
      <c r="M19">
        <f t="shared" si="4"/>
        <v>3</v>
      </c>
      <c r="N19">
        <f>SUMPRODUCT(I19:M19,Parameters!$B$6:$F$6)*Parameters!$B$15*Parameters!$B$14</f>
        <v>300</v>
      </c>
      <c r="O19">
        <f t="shared" si="5"/>
        <v>9</v>
      </c>
      <c r="P19" s="22" t="str">
        <f t="shared" si="6"/>
        <v>OK</v>
      </c>
    </row>
    <row r="20" spans="1:16" x14ac:dyDescent="0.25">
      <c r="A20" s="4">
        <v>43952</v>
      </c>
      <c r="B20">
        <f>IF(MONTH($A20)=Parameters!$B$17,'Ages of children &amp; diapers used'!B19+1,'Ages of children &amp; diapers used'!B19)</f>
        <v>1</v>
      </c>
      <c r="C20">
        <f>IF(MONTH($A20)=Parameters!$B$17,'Ages of children &amp; diapers used'!C19+1,'Ages of children &amp; diapers used'!C19)</f>
        <v>2</v>
      </c>
      <c r="D20">
        <f>IF(MONTH($A20)=Parameters!$B$17,'Ages of children &amp; diapers used'!D19+1,'Ages of children &amp; diapers used'!D19)</f>
        <v>3</v>
      </c>
      <c r="E20">
        <f>IF(MONTH($A20)=Parameters!$B$17,'Ages of children &amp; diapers used'!E19+1,'Ages of children &amp; diapers used'!E19)</f>
        <v>4</v>
      </c>
      <c r="F20">
        <f>IF(MONTH($A20)=Parameters!$B$17,'Ages of children &amp; diapers used'!F19+1,'Ages of children &amp; diapers used'!F19)</f>
        <v>5</v>
      </c>
      <c r="H20" s="4">
        <v>43952</v>
      </c>
      <c r="I20">
        <f t="shared" si="7"/>
        <v>0</v>
      </c>
      <c r="J20">
        <f t="shared" si="1"/>
        <v>1</v>
      </c>
      <c r="K20">
        <f t="shared" si="2"/>
        <v>3</v>
      </c>
      <c r="L20">
        <f t="shared" si="3"/>
        <v>2</v>
      </c>
      <c r="M20">
        <f t="shared" si="4"/>
        <v>3</v>
      </c>
      <c r="N20">
        <f>SUMPRODUCT(I20:M20,Parameters!$B$6:$F$6)*Parameters!$B$15*Parameters!$B$14</f>
        <v>300</v>
      </c>
      <c r="O20">
        <f t="shared" si="5"/>
        <v>9</v>
      </c>
      <c r="P20" s="22" t="str">
        <f t="shared" si="6"/>
        <v>OK</v>
      </c>
    </row>
    <row r="21" spans="1:16" x14ac:dyDescent="0.25">
      <c r="A21" s="4">
        <v>43983</v>
      </c>
      <c r="B21">
        <f>IF(MONTH($A21)=Parameters!$B$17,'Ages of children &amp; diapers used'!B20+1,'Ages of children &amp; diapers used'!B20)</f>
        <v>2</v>
      </c>
      <c r="C21">
        <f>IF(MONTH($A21)=Parameters!$B$17,'Ages of children &amp; diapers used'!C20+1,'Ages of children &amp; diapers used'!C20)</f>
        <v>3</v>
      </c>
      <c r="D21">
        <f>IF(MONTH($A21)=Parameters!$B$17,'Ages of children &amp; diapers used'!D20+1,'Ages of children &amp; diapers used'!D20)</f>
        <v>4</v>
      </c>
      <c r="E21">
        <f>IF(MONTH($A21)=Parameters!$B$17,'Ages of children &amp; diapers used'!E20+1,'Ages of children &amp; diapers used'!E20)</f>
        <v>5</v>
      </c>
      <c r="F21">
        <f>IF(MONTH($A21)=Parameters!$B$17,'Ages of children &amp; diapers used'!F20+1,'Ages of children &amp; diapers used'!F20)</f>
        <v>6</v>
      </c>
      <c r="H21" s="4">
        <v>43983</v>
      </c>
      <c r="I21">
        <f t="shared" si="7"/>
        <v>0</v>
      </c>
      <c r="J21">
        <f t="shared" si="1"/>
        <v>0</v>
      </c>
      <c r="K21">
        <f t="shared" si="2"/>
        <v>1</v>
      </c>
      <c r="L21">
        <f t="shared" si="3"/>
        <v>3</v>
      </c>
      <c r="M21">
        <f t="shared" si="4"/>
        <v>2</v>
      </c>
      <c r="N21">
        <f>SUMPRODUCT(I21:M21,Parameters!$B$6:$F$6)*Parameters!$B$15*Parameters!$B$14</f>
        <v>120</v>
      </c>
      <c r="O21">
        <f t="shared" si="5"/>
        <v>6</v>
      </c>
      <c r="P21" s="22" t="str">
        <f t="shared" si="6"/>
        <v>OK</v>
      </c>
    </row>
    <row r="22" spans="1:16" x14ac:dyDescent="0.25">
      <c r="A22" s="4">
        <v>44013</v>
      </c>
      <c r="B22">
        <f>IF(MONTH($A22)=Parameters!$B$17,'Ages of children &amp; diapers used'!B21+1,'Ages of children &amp; diapers used'!B21)</f>
        <v>2</v>
      </c>
      <c r="C22">
        <f>IF(MONTH($A22)=Parameters!$B$17,'Ages of children &amp; diapers used'!C21+1,'Ages of children &amp; diapers used'!C21)</f>
        <v>3</v>
      </c>
      <c r="D22">
        <f>IF(MONTH($A22)=Parameters!$B$17,'Ages of children &amp; diapers used'!D21+1,'Ages of children &amp; diapers used'!D21)</f>
        <v>4</v>
      </c>
      <c r="E22">
        <f>IF(MONTH($A22)=Parameters!$B$17,'Ages of children &amp; diapers used'!E21+1,'Ages of children &amp; diapers used'!E21)</f>
        <v>5</v>
      </c>
      <c r="F22">
        <f>IF(MONTH($A22)=Parameters!$B$17,'Ages of children &amp; diapers used'!F21+1,'Ages of children &amp; diapers used'!F21)</f>
        <v>6</v>
      </c>
      <c r="H22" s="4">
        <v>44013</v>
      </c>
      <c r="I22">
        <f t="shared" si="7"/>
        <v>0</v>
      </c>
      <c r="J22">
        <f t="shared" si="1"/>
        <v>0</v>
      </c>
      <c r="K22">
        <f t="shared" si="2"/>
        <v>1</v>
      </c>
      <c r="L22">
        <f t="shared" si="3"/>
        <v>3</v>
      </c>
      <c r="M22">
        <f t="shared" si="4"/>
        <v>2</v>
      </c>
      <c r="N22">
        <f>SUMPRODUCT(I22:M22,Parameters!$B$6:$F$6)*Parameters!$B$15*Parameters!$B$14</f>
        <v>120</v>
      </c>
      <c r="O22">
        <f t="shared" si="5"/>
        <v>6</v>
      </c>
      <c r="P22" s="22" t="str">
        <f t="shared" si="6"/>
        <v>OK</v>
      </c>
    </row>
    <row r="23" spans="1:16" x14ac:dyDescent="0.25">
      <c r="A23" s="4">
        <v>44044</v>
      </c>
      <c r="B23">
        <f>IF(MONTH($A23)=Parameters!$B$17,'Ages of children &amp; diapers used'!B22+1,'Ages of children &amp; diapers used'!B22)</f>
        <v>2</v>
      </c>
      <c r="C23">
        <f>IF(MONTH($A23)=Parameters!$B$17,'Ages of children &amp; diapers used'!C22+1,'Ages of children &amp; diapers used'!C22)</f>
        <v>3</v>
      </c>
      <c r="D23">
        <f>IF(MONTH($A23)=Parameters!$B$17,'Ages of children &amp; diapers used'!D22+1,'Ages of children &amp; diapers used'!D22)</f>
        <v>4</v>
      </c>
      <c r="E23">
        <f>IF(MONTH($A23)=Parameters!$B$17,'Ages of children &amp; diapers used'!E22+1,'Ages of children &amp; diapers used'!E22)</f>
        <v>5</v>
      </c>
      <c r="F23">
        <f>IF(MONTH($A23)=Parameters!$B$17,'Ages of children &amp; diapers used'!F22+1,'Ages of children &amp; diapers used'!F22)</f>
        <v>6</v>
      </c>
      <c r="H23" s="4">
        <v>44044</v>
      </c>
      <c r="I23">
        <f t="shared" si="7"/>
        <v>0</v>
      </c>
      <c r="J23">
        <f t="shared" si="1"/>
        <v>0</v>
      </c>
      <c r="K23">
        <f t="shared" si="2"/>
        <v>1</v>
      </c>
      <c r="L23">
        <f t="shared" si="3"/>
        <v>3</v>
      </c>
      <c r="M23">
        <f t="shared" si="4"/>
        <v>2</v>
      </c>
      <c r="N23">
        <f>SUMPRODUCT(I23:M23,Parameters!$B$6:$F$6)*Parameters!$B$15*Parameters!$B$14</f>
        <v>120</v>
      </c>
      <c r="O23">
        <f t="shared" si="5"/>
        <v>6</v>
      </c>
      <c r="P23" s="22" t="str">
        <f t="shared" si="6"/>
        <v>OK</v>
      </c>
    </row>
    <row r="24" spans="1:16" x14ac:dyDescent="0.25">
      <c r="A24" s="4">
        <v>44075</v>
      </c>
      <c r="B24">
        <f>IF(MONTH($A24)=Parameters!$B$17,'Ages of children &amp; diapers used'!B23+1,'Ages of children &amp; diapers used'!B23)</f>
        <v>2</v>
      </c>
      <c r="C24">
        <f>IF(MONTH($A24)=Parameters!$B$17,'Ages of children &amp; diapers used'!C23+1,'Ages of children &amp; diapers used'!C23)</f>
        <v>3</v>
      </c>
      <c r="D24">
        <f>IF(MONTH($A24)=Parameters!$B$17,'Ages of children &amp; diapers used'!D23+1,'Ages of children &amp; diapers used'!D23)</f>
        <v>4</v>
      </c>
      <c r="E24">
        <f>IF(MONTH($A24)=Parameters!$B$17,'Ages of children &amp; diapers used'!E23+1,'Ages of children &amp; diapers used'!E23)</f>
        <v>5</v>
      </c>
      <c r="F24">
        <f>IF(MONTH($A24)=Parameters!$B$17,'Ages of children &amp; diapers used'!F23+1,'Ages of children &amp; diapers used'!F23)</f>
        <v>6</v>
      </c>
      <c r="H24" s="4">
        <v>44075</v>
      </c>
      <c r="I24">
        <f t="shared" si="7"/>
        <v>0</v>
      </c>
      <c r="J24">
        <f t="shared" si="1"/>
        <v>0</v>
      </c>
      <c r="K24">
        <f t="shared" si="2"/>
        <v>1</v>
      </c>
      <c r="L24">
        <f t="shared" si="3"/>
        <v>3</v>
      </c>
      <c r="M24">
        <f t="shared" si="4"/>
        <v>2</v>
      </c>
      <c r="N24">
        <f>SUMPRODUCT(I24:M24,Parameters!$B$6:$F$6)*Parameters!$B$15*Parameters!$B$14</f>
        <v>120</v>
      </c>
      <c r="O24">
        <f t="shared" si="5"/>
        <v>6</v>
      </c>
      <c r="P24" s="22" t="str">
        <f t="shared" si="6"/>
        <v>OK</v>
      </c>
    </row>
    <row r="25" spans="1:16" x14ac:dyDescent="0.25">
      <c r="A25" s="4">
        <v>44105</v>
      </c>
      <c r="B25">
        <f>IF(MONTH($A25)=Parameters!$B$17,'Ages of children &amp; diapers used'!B24+1,'Ages of children &amp; diapers used'!B24)</f>
        <v>2</v>
      </c>
      <c r="C25">
        <f>IF(MONTH($A25)=Parameters!$B$17,'Ages of children &amp; diapers used'!C24+1,'Ages of children &amp; diapers used'!C24)</f>
        <v>3</v>
      </c>
      <c r="D25">
        <f>IF(MONTH($A25)=Parameters!$B$17,'Ages of children &amp; diapers used'!D24+1,'Ages of children &amp; diapers used'!D24)</f>
        <v>4</v>
      </c>
      <c r="E25">
        <f>IF(MONTH($A25)=Parameters!$B$17,'Ages of children &amp; diapers used'!E24+1,'Ages of children &amp; diapers used'!E24)</f>
        <v>5</v>
      </c>
      <c r="F25">
        <f>IF(MONTH($A25)=Parameters!$B$17,'Ages of children &amp; diapers used'!F24+1,'Ages of children &amp; diapers used'!F24)</f>
        <v>6</v>
      </c>
      <c r="H25" s="4">
        <v>44105</v>
      </c>
      <c r="I25">
        <f t="shared" si="7"/>
        <v>0</v>
      </c>
      <c r="J25">
        <f t="shared" si="1"/>
        <v>0</v>
      </c>
      <c r="K25">
        <f t="shared" si="2"/>
        <v>1</v>
      </c>
      <c r="L25">
        <f t="shared" si="3"/>
        <v>3</v>
      </c>
      <c r="M25">
        <f t="shared" si="4"/>
        <v>2</v>
      </c>
      <c r="N25">
        <f>SUMPRODUCT(I25:M25,Parameters!$B$6:$F$6)*Parameters!$B$15*Parameters!$B$14</f>
        <v>120</v>
      </c>
      <c r="O25">
        <f t="shared" si="5"/>
        <v>6</v>
      </c>
      <c r="P25" s="22" t="str">
        <f t="shared" si="6"/>
        <v>OK</v>
      </c>
    </row>
    <row r="26" spans="1:16" x14ac:dyDescent="0.25">
      <c r="A26" s="4">
        <v>44136</v>
      </c>
      <c r="B26">
        <f>IF(MONTH($A26)=Parameters!$B$17,'Ages of children &amp; diapers used'!B25+1,'Ages of children &amp; diapers used'!B25)</f>
        <v>2</v>
      </c>
      <c r="C26">
        <f>IF(MONTH($A26)=Parameters!$B$17,'Ages of children &amp; diapers used'!C25+1,'Ages of children &amp; diapers used'!C25)</f>
        <v>3</v>
      </c>
      <c r="D26">
        <f>IF(MONTH($A26)=Parameters!$B$17,'Ages of children &amp; diapers used'!D25+1,'Ages of children &amp; diapers used'!D25)</f>
        <v>4</v>
      </c>
      <c r="E26">
        <f>IF(MONTH($A26)=Parameters!$B$17,'Ages of children &amp; diapers used'!E25+1,'Ages of children &amp; diapers used'!E25)</f>
        <v>5</v>
      </c>
      <c r="F26">
        <f>IF(MONTH($A26)=Parameters!$B$17,'Ages of children &amp; diapers used'!F25+1,'Ages of children &amp; diapers used'!F25)</f>
        <v>6</v>
      </c>
      <c r="H26" s="4">
        <v>44136</v>
      </c>
      <c r="I26">
        <f t="shared" si="7"/>
        <v>0</v>
      </c>
      <c r="J26">
        <f t="shared" si="1"/>
        <v>0</v>
      </c>
      <c r="K26">
        <f t="shared" si="2"/>
        <v>1</v>
      </c>
      <c r="L26">
        <f t="shared" si="3"/>
        <v>3</v>
      </c>
      <c r="M26">
        <f t="shared" si="4"/>
        <v>2</v>
      </c>
      <c r="N26">
        <f>SUMPRODUCT(I26:M26,Parameters!$B$6:$F$6)*Parameters!$B$15*Parameters!$B$14</f>
        <v>120</v>
      </c>
      <c r="O26">
        <f t="shared" si="5"/>
        <v>6</v>
      </c>
      <c r="P26" s="22" t="str">
        <f t="shared" si="6"/>
        <v>OK</v>
      </c>
    </row>
    <row r="27" spans="1:16" x14ac:dyDescent="0.25">
      <c r="A27" s="4">
        <v>44166</v>
      </c>
      <c r="B27">
        <f>IF(MONTH($A27)=Parameters!$B$17,'Ages of children &amp; diapers used'!B26+1,'Ages of children &amp; diapers used'!B26)</f>
        <v>2</v>
      </c>
      <c r="C27">
        <f>IF(MONTH($A27)=Parameters!$B$17,'Ages of children &amp; diapers used'!C26+1,'Ages of children &amp; diapers used'!C26)</f>
        <v>3</v>
      </c>
      <c r="D27">
        <f>IF(MONTH($A27)=Parameters!$B$17,'Ages of children &amp; diapers used'!D26+1,'Ages of children &amp; diapers used'!D26)</f>
        <v>4</v>
      </c>
      <c r="E27">
        <f>IF(MONTH($A27)=Parameters!$B$17,'Ages of children &amp; diapers used'!E26+1,'Ages of children &amp; diapers used'!E26)</f>
        <v>5</v>
      </c>
      <c r="F27">
        <f>IF(MONTH($A27)=Parameters!$B$17,'Ages of children &amp; diapers used'!F26+1,'Ages of children &amp; diapers used'!F26)</f>
        <v>6</v>
      </c>
      <c r="H27" s="4">
        <v>44166</v>
      </c>
      <c r="I27">
        <f t="shared" si="7"/>
        <v>0</v>
      </c>
      <c r="J27">
        <f t="shared" si="1"/>
        <v>0</v>
      </c>
      <c r="K27">
        <f t="shared" si="2"/>
        <v>1</v>
      </c>
      <c r="L27">
        <f t="shared" si="3"/>
        <v>3</v>
      </c>
      <c r="M27">
        <f t="shared" si="4"/>
        <v>2</v>
      </c>
      <c r="N27">
        <f>SUMPRODUCT(I27:M27,Parameters!$B$6:$F$6)*Parameters!$B$15*Parameters!$B$14</f>
        <v>120</v>
      </c>
      <c r="O27">
        <f t="shared" si="5"/>
        <v>6</v>
      </c>
      <c r="P27" s="22" t="str">
        <f t="shared" si="6"/>
        <v>OK</v>
      </c>
    </row>
    <row r="30" spans="1:16" x14ac:dyDescent="0.25">
      <c r="B30" t="s">
        <v>99</v>
      </c>
    </row>
    <row r="31" spans="1:16" x14ac:dyDescent="0.25">
      <c r="A31" t="s">
        <v>68</v>
      </c>
      <c r="B31">
        <v>0</v>
      </c>
      <c r="C31">
        <v>1</v>
      </c>
      <c r="D31">
        <v>2</v>
      </c>
      <c r="E31">
        <v>3</v>
      </c>
      <c r="F31">
        <v>4</v>
      </c>
    </row>
    <row r="32" spans="1:16" x14ac:dyDescent="0.25">
      <c r="A32" s="4">
        <v>43466</v>
      </c>
      <c r="B32">
        <f>VLOOKUP($A32,$A$4:$F$27,B$31+2,FALSE)</f>
        <v>0</v>
      </c>
      <c r="C32">
        <f t="shared" ref="C32:F34" si="8">VLOOKUP($A32,$A$4:$F$27,C$31+2,FALSE)</f>
        <v>1</v>
      </c>
      <c r="D32">
        <f t="shared" si="8"/>
        <v>2</v>
      </c>
      <c r="E32">
        <f t="shared" si="8"/>
        <v>3</v>
      </c>
      <c r="F32">
        <f t="shared" si="8"/>
        <v>4</v>
      </c>
    </row>
    <row r="33" spans="1:6" x14ac:dyDescent="0.25">
      <c r="A33" s="4">
        <v>43617</v>
      </c>
      <c r="B33">
        <f t="shared" ref="B33:B34" si="9">VLOOKUP($A33,$A$4:$F$27,B$31+2,FALSE)</f>
        <v>1</v>
      </c>
      <c r="C33">
        <f t="shared" si="8"/>
        <v>2</v>
      </c>
      <c r="D33">
        <f t="shared" si="8"/>
        <v>3</v>
      </c>
      <c r="E33">
        <f t="shared" si="8"/>
        <v>4</v>
      </c>
      <c r="F33">
        <f t="shared" si="8"/>
        <v>5</v>
      </c>
    </row>
    <row r="34" spans="1:6" x14ac:dyDescent="0.25">
      <c r="A34" s="4">
        <v>43983</v>
      </c>
      <c r="B34">
        <f t="shared" si="9"/>
        <v>2</v>
      </c>
      <c r="C34">
        <f t="shared" si="8"/>
        <v>3</v>
      </c>
      <c r="D34">
        <f t="shared" si="8"/>
        <v>4</v>
      </c>
      <c r="E34">
        <f t="shared" si="8"/>
        <v>5</v>
      </c>
      <c r="F34">
        <f t="shared" si="8"/>
        <v>6</v>
      </c>
    </row>
    <row r="36" spans="1:6" x14ac:dyDescent="0.25">
      <c r="A36" t="s">
        <v>69</v>
      </c>
      <c r="B36" t="str">
        <f>IF(B33&lt;&gt;B32+1,"Error","OK")</f>
        <v>OK</v>
      </c>
      <c r="C36" t="str">
        <f t="shared" ref="C36:F36" si="10">IF(C33&lt;&gt;C32+1,"Error","OK")</f>
        <v>OK</v>
      </c>
      <c r="D36" t="str">
        <f t="shared" si="10"/>
        <v>OK</v>
      </c>
      <c r="E36" t="str">
        <f t="shared" si="10"/>
        <v>OK</v>
      </c>
      <c r="F36" t="str">
        <f t="shared" si="10"/>
        <v>OK</v>
      </c>
    </row>
    <row r="37" spans="1:6" x14ac:dyDescent="0.25">
      <c r="A37" t="s">
        <v>98</v>
      </c>
      <c r="B37" t="str">
        <f t="shared" ref="B37:F37" si="11">IF(B34&lt;&gt;B33+1,"Error","OK")</f>
        <v>OK</v>
      </c>
      <c r="C37" t="str">
        <f t="shared" si="11"/>
        <v>OK</v>
      </c>
      <c r="D37" t="str">
        <f t="shared" si="11"/>
        <v>OK</v>
      </c>
      <c r="E37" t="str">
        <f t="shared" si="11"/>
        <v>OK</v>
      </c>
      <c r="F37" t="str">
        <f t="shared" si="11"/>
        <v>OK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R32"/>
  <sheetViews>
    <sheetView tabSelected="1" workbookViewId="0">
      <selection activeCell="F5" sqref="F5"/>
    </sheetView>
  </sheetViews>
  <sheetFormatPr defaultColWidth="10.7109375" defaultRowHeight="15" x14ac:dyDescent="0.25"/>
  <cols>
    <col min="1" max="1" width="21.7109375" customWidth="1"/>
    <col min="7" max="7" width="10.7109375" style="21"/>
    <col min="17" max="17" width="12.140625" customWidth="1"/>
  </cols>
  <sheetData>
    <row r="1" spans="1:18" ht="36.75" customHeight="1" x14ac:dyDescent="0.25">
      <c r="A1" s="1" t="s">
        <v>21</v>
      </c>
      <c r="B1">
        <f>Parameters!B9</f>
        <v>53</v>
      </c>
    </row>
    <row r="2" spans="1:18" ht="42" customHeight="1" x14ac:dyDescent="0.25">
      <c r="A2" s="1" t="s">
        <v>92</v>
      </c>
      <c r="B2">
        <f>Parameters!B13*Parameters!B15-Parameters!B20</f>
        <v>35</v>
      </c>
      <c r="C2" s="7"/>
      <c r="J2" s="7"/>
      <c r="M2" s="1" t="s">
        <v>34</v>
      </c>
      <c r="N2" s="6">
        <f>SUM(N6:N29)</f>
        <v>94484.681692082071</v>
      </c>
    </row>
    <row r="3" spans="1:18" ht="42" customHeight="1" x14ac:dyDescent="0.25">
      <c r="A3" s="1" t="s">
        <v>93</v>
      </c>
      <c r="B3">
        <f>Parameters!B10*'Projection_15 hours'!B2/(Parameters!B13*Parameters!B15)</f>
        <v>35</v>
      </c>
      <c r="M3" s="30"/>
      <c r="N3" s="30"/>
    </row>
    <row r="4" spans="1:18" x14ac:dyDescent="0.25">
      <c r="E4" s="7"/>
    </row>
    <row r="5" spans="1:18" s="1" customFormat="1" ht="75" x14ac:dyDescent="0.25">
      <c r="A5" s="23" t="s">
        <v>19</v>
      </c>
      <c r="B5" s="23" t="s">
        <v>28</v>
      </c>
      <c r="C5" s="23" t="s">
        <v>32</v>
      </c>
      <c r="D5" s="23" t="s">
        <v>27</v>
      </c>
      <c r="E5" s="23" t="s">
        <v>23</v>
      </c>
      <c r="F5" s="23" t="s">
        <v>100</v>
      </c>
      <c r="G5" s="20" t="s">
        <v>82</v>
      </c>
      <c r="H5" s="23" t="s">
        <v>74</v>
      </c>
      <c r="I5" s="23" t="s">
        <v>75</v>
      </c>
      <c r="J5" s="23" t="s">
        <v>76</v>
      </c>
      <c r="K5" s="23" t="s">
        <v>25</v>
      </c>
      <c r="L5" s="23" t="s">
        <v>26</v>
      </c>
      <c r="M5" s="23" t="s">
        <v>30</v>
      </c>
      <c r="N5" s="23" t="s">
        <v>31</v>
      </c>
      <c r="O5" s="20" t="s">
        <v>81</v>
      </c>
      <c r="Q5" s="24" t="s">
        <v>83</v>
      </c>
      <c r="R5" s="20" t="s">
        <v>84</v>
      </c>
    </row>
    <row r="6" spans="1:18" x14ac:dyDescent="0.25">
      <c r="A6" s="4">
        <v>43466</v>
      </c>
      <c r="B6" s="5">
        <v>1</v>
      </c>
      <c r="C6" s="10">
        <v>1</v>
      </c>
      <c r="D6" s="5">
        <v>1</v>
      </c>
      <c r="E6">
        <f>SUM('Ages of children &amp; diapers used'!I4:K4)</f>
        <v>6</v>
      </c>
      <c r="F6">
        <f>SUM('Ages of children &amp; diapers used'!L4:M4)</f>
        <v>4</v>
      </c>
      <c r="G6" s="21" t="str">
        <f>IF(E6+F6='Ages of children &amp; diapers used'!O4,"OK","ERROR")</f>
        <v>OK</v>
      </c>
      <c r="H6" s="13">
        <f>(E6*$B$1+F6*$B$3)*Parameters!$B$12</f>
        <v>9160</v>
      </c>
      <c r="I6" s="13">
        <f>'Ages of children &amp; diapers used'!N4*Parameters!$B$23</f>
        <v>520</v>
      </c>
      <c r="J6" s="13">
        <f>-Parameters!$B$32/Parameters!$B$33*D6*'Ages of children &amp; diapers used'!N4</f>
        <v>-130</v>
      </c>
      <c r="K6" s="13">
        <f>-Parameters!$B$31*Parameters!$B$14</f>
        <v>-400</v>
      </c>
      <c r="L6" s="18">
        <f>-Parameters!$B$28*Parameters!$B$27*Parameters!$B$12*Parameters!$B$13*D6</f>
        <v>-2880</v>
      </c>
      <c r="M6" s="29">
        <f>SUM(H6:L6)</f>
        <v>6270</v>
      </c>
      <c r="N6" s="29">
        <f>M6/((1+Parameters!$C$38)^(C6-1))</f>
        <v>6270</v>
      </c>
      <c r="O6" s="21" t="str">
        <f>IF(N6&gt;M6,"CHECK","OK")</f>
        <v>OK</v>
      </c>
      <c r="Q6" s="26">
        <f>N6/M6</f>
        <v>1</v>
      </c>
      <c r="R6" s="25" t="str">
        <f>IF(Q7&lt;Q6,"OK","ERROR")</f>
        <v>OK</v>
      </c>
    </row>
    <row r="7" spans="1:18" x14ac:dyDescent="0.25">
      <c r="A7" s="4">
        <v>43497</v>
      </c>
      <c r="B7">
        <f>IF(YEAR(A7)=YEAR(A6),B6,B6+1)</f>
        <v>1</v>
      </c>
      <c r="C7">
        <f>C6+1</f>
        <v>2</v>
      </c>
      <c r="D7">
        <f>IF(MONTH(A7)=Parameters!$B$40,(1+Parameters!$B$39)^'Projection_15 hours'!B7,'Projection_15 hours'!D6)</f>
        <v>1</v>
      </c>
      <c r="E7">
        <f>SUM('Ages of children &amp; diapers used'!I5:K5)</f>
        <v>6</v>
      </c>
      <c r="F7">
        <f>SUM('Ages of children &amp; diapers used'!L5:M5)</f>
        <v>4</v>
      </c>
      <c r="G7" s="21" t="str">
        <f>IF(E7+F7='Ages of children &amp; diapers used'!O5,"OK","ERROR")</f>
        <v>OK</v>
      </c>
      <c r="H7" s="13">
        <f>(E7*$B$1+F7*$B$3)*Parameters!$B$12</f>
        <v>9160</v>
      </c>
      <c r="I7" s="13">
        <f>'Ages of children &amp; diapers used'!N5*Parameters!$B$23</f>
        <v>520</v>
      </c>
      <c r="J7" s="13">
        <f>-Parameters!$B$32/Parameters!$B$33*D7*'Ages of children &amp; diapers used'!N5</f>
        <v>-130</v>
      </c>
      <c r="K7" s="13">
        <f>-Parameters!$B$31*Parameters!$B$14</f>
        <v>-400</v>
      </c>
      <c r="L7" s="13">
        <f>-Parameters!$B$28*Parameters!$B$27*Parameters!$B$12*Parameters!$B$13*D7</f>
        <v>-2880</v>
      </c>
      <c r="M7" s="29">
        <f t="shared" ref="M7:M29" si="0">SUM(H7:L7)</f>
        <v>6270</v>
      </c>
      <c r="N7" s="29">
        <f>M7/((1+Parameters!$C$38)^(C7-1))</f>
        <v>6259.6616598462506</v>
      </c>
      <c r="O7" s="21" t="str">
        <f t="shared" ref="O7:O29" si="1">IF(N7&gt;M7,"CHECK","OK")</f>
        <v>OK</v>
      </c>
      <c r="Q7" s="26">
        <f t="shared" ref="Q7:Q29" si="2">N7/M7</f>
        <v>0.99835114192125207</v>
      </c>
      <c r="R7" s="25" t="str">
        <f t="shared" ref="R7:R29" si="3">IF(Q8&lt;Q7,"OK","ERROR")</f>
        <v>OK</v>
      </c>
    </row>
    <row r="8" spans="1:18" x14ac:dyDescent="0.25">
      <c r="A8" s="4">
        <v>43525</v>
      </c>
      <c r="B8">
        <f t="shared" ref="B8:B29" si="4">IF(YEAR(A8)=YEAR(A7),B7,B7+1)</f>
        <v>1</v>
      </c>
      <c r="C8">
        <f t="shared" ref="C8:C29" si="5">C7+1</f>
        <v>3</v>
      </c>
      <c r="D8">
        <f>IF(MONTH(A8)=Parameters!$B$40,(1+Parameters!$B$39)^'Projection_15 hours'!B8,'Projection_15 hours'!D7)</f>
        <v>1</v>
      </c>
      <c r="E8">
        <f>SUM('Ages of children &amp; diapers used'!I6:K6)</f>
        <v>6</v>
      </c>
      <c r="F8">
        <f>SUM('Ages of children &amp; diapers used'!L6:M6)</f>
        <v>4</v>
      </c>
      <c r="G8" s="21" t="str">
        <f>IF(E8+F8='Ages of children &amp; diapers used'!O6,"OK","ERROR")</f>
        <v>OK</v>
      </c>
      <c r="H8" s="13">
        <f>(E8*$B$1+F8*$B$3)*Parameters!$B$12</f>
        <v>9160</v>
      </c>
      <c r="I8" s="13">
        <f>'Ages of children &amp; diapers used'!N6*Parameters!$B$23</f>
        <v>520</v>
      </c>
      <c r="J8" s="13">
        <f>-Parameters!$B$32/Parameters!$B$33*D8*'Ages of children &amp; diapers used'!N6</f>
        <v>-130</v>
      </c>
      <c r="K8" s="13">
        <f>-Parameters!$B$31*Parameters!$B$14</f>
        <v>-400</v>
      </c>
      <c r="L8" s="13">
        <f>-Parameters!$B$28*Parameters!$B$27*Parameters!$B$12*Parameters!$B$13*D8</f>
        <v>-2880</v>
      </c>
      <c r="M8" s="29">
        <f t="shared" si="0"/>
        <v>6270</v>
      </c>
      <c r="N8" s="29">
        <f>M8/((1+Parameters!$C$38)^(C8-1))</f>
        <v>6249.3403661481861</v>
      </c>
      <c r="O8" s="21" t="str">
        <f t="shared" si="1"/>
        <v>OK</v>
      </c>
      <c r="Q8" s="26">
        <f t="shared" si="2"/>
        <v>0.99670500257546824</v>
      </c>
      <c r="R8" s="25" t="str">
        <f t="shared" si="3"/>
        <v>OK</v>
      </c>
    </row>
    <row r="9" spans="1:18" x14ac:dyDescent="0.25">
      <c r="A9" s="4">
        <v>43556</v>
      </c>
      <c r="B9">
        <f t="shared" si="4"/>
        <v>1</v>
      </c>
      <c r="C9">
        <f t="shared" si="5"/>
        <v>4</v>
      </c>
      <c r="D9">
        <f>IF(MONTH(A9)=Parameters!$B$40,(1+Parameters!$B$39)^'Projection_15 hours'!B9,'Projection_15 hours'!D8)</f>
        <v>1.0149999999999999</v>
      </c>
      <c r="E9">
        <f>SUM('Ages of children &amp; diapers used'!I7:K7)</f>
        <v>6</v>
      </c>
      <c r="F9">
        <f>SUM('Ages of children &amp; diapers used'!L7:M7)</f>
        <v>4</v>
      </c>
      <c r="G9" s="21" t="str">
        <f>IF(E9+F9='Ages of children &amp; diapers used'!O7,"OK","ERROR")</f>
        <v>OK</v>
      </c>
      <c r="H9" s="13">
        <f>(E9*$B$1+F9*$B$3)*Parameters!$B$12</f>
        <v>9160</v>
      </c>
      <c r="I9" s="13">
        <f>'Ages of children &amp; diapers used'!N7*Parameters!$B$23</f>
        <v>520</v>
      </c>
      <c r="J9" s="13">
        <f>-Parameters!$B$32/Parameters!$B$33*D9*'Ages of children &amp; diapers used'!N7</f>
        <v>-131.94999999999999</v>
      </c>
      <c r="K9" s="13">
        <f>-Parameters!$B$31*Parameters!$B$14</f>
        <v>-400</v>
      </c>
      <c r="L9" s="13">
        <f>-Parameters!$B$28*Parameters!$B$27*Parameters!$B$12*Parameters!$B$13*D9</f>
        <v>-2923.2</v>
      </c>
      <c r="M9" s="29">
        <f t="shared" si="0"/>
        <v>6224.8499999999995</v>
      </c>
      <c r="N9" s="29">
        <f>M9/((1+Parameters!$C$38)^(C9-1))</f>
        <v>6194.1090605754016</v>
      </c>
      <c r="O9" s="21" t="str">
        <f t="shared" si="1"/>
        <v>OK</v>
      </c>
      <c r="Q9" s="26">
        <f t="shared" si="2"/>
        <v>0.99506157747984325</v>
      </c>
      <c r="R9" s="25" t="str">
        <f t="shared" si="3"/>
        <v>OK</v>
      </c>
    </row>
    <row r="10" spans="1:18" x14ac:dyDescent="0.25">
      <c r="A10" s="4">
        <v>43586</v>
      </c>
      <c r="B10">
        <f t="shared" si="4"/>
        <v>1</v>
      </c>
      <c r="C10">
        <f t="shared" si="5"/>
        <v>5</v>
      </c>
      <c r="D10">
        <f>IF(MONTH(A10)=Parameters!$B$40,(1+Parameters!$B$39)^'Projection_15 hours'!B10,'Projection_15 hours'!D9)</f>
        <v>1.0149999999999999</v>
      </c>
      <c r="E10">
        <f>SUM('Ages of children &amp; diapers used'!I8:K8)</f>
        <v>6</v>
      </c>
      <c r="F10">
        <f>SUM('Ages of children &amp; diapers used'!L8:M8)</f>
        <v>4</v>
      </c>
      <c r="G10" s="21" t="str">
        <f>IF(E10+F10='Ages of children &amp; diapers used'!O8,"OK","ERROR")</f>
        <v>OK</v>
      </c>
      <c r="H10" s="13">
        <f>(E10*$B$1+F10*$B$3)*Parameters!$B$12</f>
        <v>9160</v>
      </c>
      <c r="I10" s="13">
        <f>'Ages of children &amp; diapers used'!N8*Parameters!$B$23</f>
        <v>520</v>
      </c>
      <c r="J10" s="13">
        <f>-Parameters!$B$32/Parameters!$B$33*D10*'Ages of children &amp; diapers used'!N8</f>
        <v>-131.94999999999999</v>
      </c>
      <c r="K10" s="13">
        <f>-Parameters!$B$31*Parameters!$B$14</f>
        <v>-400</v>
      </c>
      <c r="L10" s="13">
        <f>-Parameters!$B$28*Parameters!$B$27*Parameters!$B$12*Parameters!$B$13*D10</f>
        <v>-2923.2</v>
      </c>
      <c r="M10" s="29">
        <f t="shared" si="0"/>
        <v>6224.8499999999995</v>
      </c>
      <c r="N10" s="29">
        <f>M10/((1+Parameters!$C$38)^(C10-1))</f>
        <v>6183.895853810227</v>
      </c>
      <c r="O10" s="21" t="str">
        <f t="shared" si="1"/>
        <v>OK</v>
      </c>
      <c r="Q10" s="26">
        <f t="shared" si="2"/>
        <v>0.99342086215896408</v>
      </c>
      <c r="R10" s="25" t="str">
        <f t="shared" si="3"/>
        <v>OK</v>
      </c>
    </row>
    <row r="11" spans="1:18" x14ac:dyDescent="0.25">
      <c r="A11" s="4">
        <v>43617</v>
      </c>
      <c r="B11">
        <f t="shared" si="4"/>
        <v>1</v>
      </c>
      <c r="C11">
        <f t="shared" si="5"/>
        <v>6</v>
      </c>
      <c r="D11">
        <f>IF(MONTH(A11)=Parameters!$B$40,(1+Parameters!$B$39)^'Projection_15 hours'!B11,'Projection_15 hours'!D10)</f>
        <v>1.0149999999999999</v>
      </c>
      <c r="E11">
        <f>SUM('Ages of children &amp; diapers used'!I9:K9)</f>
        <v>4</v>
      </c>
      <c r="F11">
        <f>SUM('Ages of children &amp; diapers used'!L9:M9)</f>
        <v>5</v>
      </c>
      <c r="G11" s="21" t="str">
        <f>IF(E11+F11='Ages of children &amp; diapers used'!O9,"OK","ERROR")</f>
        <v>OK</v>
      </c>
      <c r="H11" s="13">
        <f>(E11*$B$1+F11*$B$3)*Parameters!$B$12</f>
        <v>7740</v>
      </c>
      <c r="I11" s="13">
        <f>'Ages of children &amp; diapers used'!N9*Parameters!$B$23</f>
        <v>300</v>
      </c>
      <c r="J11" s="13">
        <f>-Parameters!$B$32/Parameters!$B$33*D11*'Ages of children &amp; diapers used'!N9</f>
        <v>-76.124999999999986</v>
      </c>
      <c r="K11" s="13">
        <f>-Parameters!$B$31*Parameters!$B$14</f>
        <v>-400</v>
      </c>
      <c r="L11" s="13">
        <f>-Parameters!$B$28*Parameters!$B$27*Parameters!$B$12*Parameters!$B$13*D11</f>
        <v>-2923.2</v>
      </c>
      <c r="M11" s="29">
        <f t="shared" si="0"/>
        <v>4640.6750000000002</v>
      </c>
      <c r="N11" s="29">
        <f>M11/((1+Parameters!$C$38)^(C11-1))</f>
        <v>4602.5418873770541</v>
      </c>
      <c r="O11" s="21" t="str">
        <f t="shared" si="1"/>
        <v>OK</v>
      </c>
      <c r="Q11" s="26">
        <f t="shared" si="2"/>
        <v>0.99178285214479656</v>
      </c>
      <c r="R11" s="25" t="str">
        <f t="shared" si="3"/>
        <v>OK</v>
      </c>
    </row>
    <row r="12" spans="1:18" x14ac:dyDescent="0.25">
      <c r="A12" s="4">
        <v>43647</v>
      </c>
      <c r="B12">
        <f t="shared" si="4"/>
        <v>1</v>
      </c>
      <c r="C12">
        <f t="shared" si="5"/>
        <v>7</v>
      </c>
      <c r="D12">
        <f>IF(MONTH(A12)=Parameters!$B$40,(1+Parameters!$B$39)^'Projection_15 hours'!B12,'Projection_15 hours'!D11)</f>
        <v>1.0149999999999999</v>
      </c>
      <c r="E12">
        <f>SUM('Ages of children &amp; diapers used'!I10:K10)</f>
        <v>4</v>
      </c>
      <c r="F12">
        <f>SUM('Ages of children &amp; diapers used'!L10:M10)</f>
        <v>5</v>
      </c>
      <c r="G12" s="21" t="str">
        <f>IF(E12+F12='Ages of children &amp; diapers used'!O10,"OK","ERROR")</f>
        <v>OK</v>
      </c>
      <c r="H12" s="13">
        <f>(E12*$B$1+F12*$B$3)*Parameters!$B$12</f>
        <v>7740</v>
      </c>
      <c r="I12" s="13">
        <f>'Ages of children &amp; diapers used'!N10*Parameters!$B$23</f>
        <v>300</v>
      </c>
      <c r="J12" s="13">
        <f>-Parameters!$B$32/Parameters!$B$33*D12*'Ages of children &amp; diapers used'!N10</f>
        <v>-76.124999999999986</v>
      </c>
      <c r="K12" s="13">
        <f>-Parameters!$B$31*Parameters!$B$14</f>
        <v>-400</v>
      </c>
      <c r="L12" s="13">
        <f>-Parameters!$B$28*Parameters!$B$27*Parameters!$B$12*Parameters!$B$13*D12</f>
        <v>-2923.2</v>
      </c>
      <c r="M12" s="29">
        <f t="shared" si="0"/>
        <v>4640.6750000000002</v>
      </c>
      <c r="N12" s="29">
        <f>M12/((1+Parameters!$C$38)^(C12-1))</f>
        <v>4594.9529490032783</v>
      </c>
      <c r="O12" s="21" t="str">
        <f t="shared" si="1"/>
        <v>OK</v>
      </c>
      <c r="Q12" s="26">
        <f t="shared" si="2"/>
        <v>0.99014754297667429</v>
      </c>
      <c r="R12" s="25" t="str">
        <f t="shared" si="3"/>
        <v>OK</v>
      </c>
    </row>
    <row r="13" spans="1:18" x14ac:dyDescent="0.25">
      <c r="A13" s="4">
        <v>43678</v>
      </c>
      <c r="B13">
        <f t="shared" si="4"/>
        <v>1</v>
      </c>
      <c r="C13">
        <f t="shared" si="5"/>
        <v>8</v>
      </c>
      <c r="D13">
        <f>IF(MONTH(A13)=Parameters!$B$40,(1+Parameters!$B$39)^'Projection_15 hours'!B13,'Projection_15 hours'!D12)</f>
        <v>1.0149999999999999</v>
      </c>
      <c r="E13">
        <f>SUM('Ages of children &amp; diapers used'!I11:K11)</f>
        <v>4</v>
      </c>
      <c r="F13">
        <f>SUM('Ages of children &amp; diapers used'!L11:M11)</f>
        <v>5</v>
      </c>
      <c r="G13" s="21" t="str">
        <f>IF(E13+F13='Ages of children &amp; diapers used'!O11,"OK","ERROR")</f>
        <v>OK</v>
      </c>
      <c r="H13" s="13">
        <f>(E13*$B$1+F13*$B$3)*Parameters!$B$12</f>
        <v>7740</v>
      </c>
      <c r="I13" s="13">
        <f>'Ages of children &amp; diapers used'!N11*Parameters!$B$23</f>
        <v>300</v>
      </c>
      <c r="J13" s="13">
        <f>-Parameters!$B$32/Parameters!$B$33*D13*'Ages of children &amp; diapers used'!N11</f>
        <v>-76.124999999999986</v>
      </c>
      <c r="K13" s="13">
        <f>-Parameters!$B$31*Parameters!$B$14</f>
        <v>-400</v>
      </c>
      <c r="L13" s="13">
        <f>-Parameters!$B$28*Parameters!$B$27*Parameters!$B$12*Parameters!$B$13*D13</f>
        <v>-2923.2</v>
      </c>
      <c r="M13" s="29">
        <f t="shared" si="0"/>
        <v>4640.6750000000002</v>
      </c>
      <c r="N13" s="29">
        <f>M13/((1+Parameters!$C$38)^(C13-1))</f>
        <v>4587.3765237118478</v>
      </c>
      <c r="O13" s="21" t="str">
        <f t="shared" si="1"/>
        <v>OK</v>
      </c>
      <c r="Q13" s="26">
        <f t="shared" si="2"/>
        <v>0.98851493020128489</v>
      </c>
      <c r="R13" s="25" t="str">
        <f t="shared" si="3"/>
        <v>OK</v>
      </c>
    </row>
    <row r="14" spans="1:18" x14ac:dyDescent="0.25">
      <c r="A14" s="4">
        <v>43709</v>
      </c>
      <c r="B14">
        <f t="shared" si="4"/>
        <v>1</v>
      </c>
      <c r="C14">
        <f t="shared" si="5"/>
        <v>9</v>
      </c>
      <c r="D14">
        <f>IF(MONTH(A14)=Parameters!$B$40,(1+Parameters!$B$39)^'Projection_15 hours'!B14,'Projection_15 hours'!D13)</f>
        <v>1.0149999999999999</v>
      </c>
      <c r="E14">
        <f>SUM('Ages of children &amp; diapers used'!I12:K12)</f>
        <v>4</v>
      </c>
      <c r="F14">
        <f>SUM('Ages of children &amp; diapers used'!L12:M12)</f>
        <v>5</v>
      </c>
      <c r="G14" s="21" t="str">
        <f>IF(E14+F14='Ages of children &amp; diapers used'!O12,"OK","ERROR")</f>
        <v>OK</v>
      </c>
      <c r="H14" s="13">
        <f>(E14*$B$1+F14*$B$3)*Parameters!$B$12</f>
        <v>7740</v>
      </c>
      <c r="I14" s="13">
        <f>'Ages of children &amp; diapers used'!N12*Parameters!$B$23</f>
        <v>300</v>
      </c>
      <c r="J14" s="13">
        <f>-Parameters!$B$32/Parameters!$B$33*D14*'Ages of children &amp; diapers used'!N12</f>
        <v>-76.124999999999986</v>
      </c>
      <c r="K14" s="13">
        <f>-Parameters!$B$31*Parameters!$B$14</f>
        <v>-400</v>
      </c>
      <c r="L14" s="13">
        <f>-Parameters!$B$28*Parameters!$B$27*Parameters!$B$12*Parameters!$B$13*D14</f>
        <v>-2923.2</v>
      </c>
      <c r="M14" s="29">
        <f t="shared" si="0"/>
        <v>4640.6750000000002</v>
      </c>
      <c r="N14" s="29">
        <f>M14/((1+Parameters!$C$38)^(C14-1))</f>
        <v>4579.8125908704669</v>
      </c>
      <c r="O14" s="21" t="str">
        <f t="shared" si="1"/>
        <v>OK</v>
      </c>
      <c r="Q14" s="26">
        <f t="shared" si="2"/>
        <v>0.98688500937265955</v>
      </c>
      <c r="R14" s="25" t="str">
        <f t="shared" si="3"/>
        <v>OK</v>
      </c>
    </row>
    <row r="15" spans="1:18" x14ac:dyDescent="0.25">
      <c r="A15" s="4">
        <v>43739</v>
      </c>
      <c r="B15">
        <f t="shared" si="4"/>
        <v>1</v>
      </c>
      <c r="C15">
        <f t="shared" si="5"/>
        <v>10</v>
      </c>
      <c r="D15">
        <f>IF(MONTH(A15)=Parameters!$B$40,(1+Parameters!$B$39)^'Projection_15 hours'!B15,'Projection_15 hours'!D14)</f>
        <v>1.0149999999999999</v>
      </c>
      <c r="E15">
        <f>SUM('Ages of children &amp; diapers used'!I13:K13)</f>
        <v>4</v>
      </c>
      <c r="F15">
        <f>SUM('Ages of children &amp; diapers used'!L13:M13)</f>
        <v>5</v>
      </c>
      <c r="G15" s="21" t="str">
        <f>IF(E15+F15='Ages of children &amp; diapers used'!O13,"OK","ERROR")</f>
        <v>OK</v>
      </c>
      <c r="H15" s="13">
        <f>(E15*$B$1+F15*$B$3)*Parameters!$B$12</f>
        <v>7740</v>
      </c>
      <c r="I15" s="13">
        <f>'Ages of children &amp; diapers used'!N13*Parameters!$B$23</f>
        <v>300</v>
      </c>
      <c r="J15" s="13">
        <f>-Parameters!$B$32/Parameters!$B$33*D15*'Ages of children &amp; diapers used'!N13</f>
        <v>-76.124999999999986</v>
      </c>
      <c r="K15" s="13">
        <f>-Parameters!$B$31*Parameters!$B$14</f>
        <v>-400</v>
      </c>
      <c r="L15" s="13">
        <f>-Parameters!$B$28*Parameters!$B$27*Parameters!$B$12*Parameters!$B$13*D15</f>
        <v>-2923.2</v>
      </c>
      <c r="M15" s="29">
        <f t="shared" si="0"/>
        <v>4640.6750000000002</v>
      </c>
      <c r="N15" s="29">
        <f>M15/((1+Parameters!$C$38)^(C15-1))</f>
        <v>4572.2611298808588</v>
      </c>
      <c r="O15" s="21" t="str">
        <f t="shared" si="1"/>
        <v>OK</v>
      </c>
      <c r="Q15" s="26">
        <f t="shared" si="2"/>
        <v>0.98525777605216025</v>
      </c>
      <c r="R15" s="25" t="str">
        <f t="shared" si="3"/>
        <v>OK</v>
      </c>
    </row>
    <row r="16" spans="1:18" x14ac:dyDescent="0.25">
      <c r="A16" s="4">
        <v>43770</v>
      </c>
      <c r="B16">
        <f t="shared" si="4"/>
        <v>1</v>
      </c>
      <c r="C16">
        <f t="shared" si="5"/>
        <v>11</v>
      </c>
      <c r="D16">
        <f>IF(MONTH(A16)=Parameters!$B$40,(1+Parameters!$B$39)^'Projection_15 hours'!B16,'Projection_15 hours'!D15)</f>
        <v>1.0149999999999999</v>
      </c>
      <c r="E16">
        <f>SUM('Ages of children &amp; diapers used'!I14:K14)</f>
        <v>4</v>
      </c>
      <c r="F16">
        <f>SUM('Ages of children &amp; diapers used'!L14:M14)</f>
        <v>5</v>
      </c>
      <c r="G16" s="21" t="str">
        <f>IF(E16+F16='Ages of children &amp; diapers used'!O14,"OK","ERROR")</f>
        <v>OK</v>
      </c>
      <c r="H16" s="13">
        <f>(E16*$B$1+F16*$B$3)*Parameters!$B$12</f>
        <v>7740</v>
      </c>
      <c r="I16" s="13">
        <f>'Ages of children &amp; diapers used'!N14*Parameters!$B$23</f>
        <v>300</v>
      </c>
      <c r="J16" s="13">
        <f>-Parameters!$B$32/Parameters!$B$33*D16*'Ages of children &amp; diapers used'!N14</f>
        <v>-76.124999999999986</v>
      </c>
      <c r="K16" s="13">
        <f>-Parameters!$B$31*Parameters!$B$14</f>
        <v>-400</v>
      </c>
      <c r="L16" s="13">
        <f>-Parameters!$B$28*Parameters!$B$27*Parameters!$B$12*Parameters!$B$13*D16</f>
        <v>-2923.2</v>
      </c>
      <c r="M16" s="29">
        <f t="shared" si="0"/>
        <v>4640.6750000000002</v>
      </c>
      <c r="N16" s="29">
        <f>M16/((1+Parameters!$C$38)^(C16-1))</f>
        <v>4564.7221201787106</v>
      </c>
      <c r="O16" s="21" t="str">
        <f t="shared" si="1"/>
        <v>OK</v>
      </c>
      <c r="Q16" s="26">
        <f t="shared" si="2"/>
        <v>0.98363322580846757</v>
      </c>
      <c r="R16" s="25" t="str">
        <f t="shared" si="3"/>
        <v>OK</v>
      </c>
    </row>
    <row r="17" spans="1:18" x14ac:dyDescent="0.25">
      <c r="A17" s="4">
        <v>43800</v>
      </c>
      <c r="B17">
        <f t="shared" si="4"/>
        <v>1</v>
      </c>
      <c r="C17">
        <f t="shared" si="5"/>
        <v>12</v>
      </c>
      <c r="D17">
        <f>IF(MONTH(A17)=Parameters!$B$40,(1+Parameters!$B$39)^'Projection_15 hours'!B17,'Projection_15 hours'!D16)</f>
        <v>1.0149999999999999</v>
      </c>
      <c r="E17">
        <f>SUM('Ages of children &amp; diapers used'!I15:K15)</f>
        <v>4</v>
      </c>
      <c r="F17">
        <f>SUM('Ages of children &amp; diapers used'!L15:M15)</f>
        <v>5</v>
      </c>
      <c r="G17" s="21" t="str">
        <f>IF(E17+F17='Ages of children &amp; diapers used'!O15,"OK","ERROR")</f>
        <v>OK</v>
      </c>
      <c r="H17" s="13">
        <f>(E17*$B$1+F17*$B$3)*Parameters!$B$12</f>
        <v>7740</v>
      </c>
      <c r="I17" s="13">
        <f>'Ages of children &amp; diapers used'!N15*Parameters!$B$23</f>
        <v>300</v>
      </c>
      <c r="J17" s="13">
        <f>-Parameters!$B$32/Parameters!$B$33*D17*'Ages of children &amp; diapers used'!N15</f>
        <v>-76.124999999999986</v>
      </c>
      <c r="K17" s="13">
        <f>-Parameters!$B$31*Parameters!$B$14</f>
        <v>-400</v>
      </c>
      <c r="L17" s="13">
        <f>-Parameters!$B$28*Parameters!$B$27*Parameters!$B$12*Parameters!$B$13*D17</f>
        <v>-2923.2</v>
      </c>
      <c r="M17" s="29">
        <f t="shared" si="0"/>
        <v>4640.6750000000002</v>
      </c>
      <c r="N17" s="29">
        <f>M17/((1+Parameters!$C$38)^(C17-1))</f>
        <v>4557.1955412336147</v>
      </c>
      <c r="O17" s="21" t="str">
        <f t="shared" si="1"/>
        <v>OK</v>
      </c>
      <c r="Q17" s="26">
        <f t="shared" si="2"/>
        <v>0.98201135421756847</v>
      </c>
      <c r="R17" s="25" t="str">
        <f t="shared" si="3"/>
        <v>OK</v>
      </c>
    </row>
    <row r="18" spans="1:18" x14ac:dyDescent="0.25">
      <c r="A18" s="4">
        <v>43831</v>
      </c>
      <c r="B18">
        <f t="shared" si="4"/>
        <v>2</v>
      </c>
      <c r="C18">
        <f t="shared" si="5"/>
        <v>13</v>
      </c>
      <c r="D18">
        <f>IF(MONTH(A18)=Parameters!$B$40,(1+Parameters!$B$39)^'Projection_15 hours'!B18,'Projection_15 hours'!D17)</f>
        <v>1.0149999999999999</v>
      </c>
      <c r="E18">
        <f>SUM('Ages of children &amp; diapers used'!I16:K16)</f>
        <v>4</v>
      </c>
      <c r="F18">
        <f>SUM('Ages of children &amp; diapers used'!L16:M16)</f>
        <v>5</v>
      </c>
      <c r="G18" s="21" t="str">
        <f>IF(E18+F18='Ages of children &amp; diapers used'!O16,"OK","ERROR")</f>
        <v>OK</v>
      </c>
      <c r="H18" s="13">
        <f>(E18*$B$1+F18*$B$3)*Parameters!$B$12</f>
        <v>7740</v>
      </c>
      <c r="I18" s="13">
        <f>'Ages of children &amp; diapers used'!N16*Parameters!$B$23</f>
        <v>300</v>
      </c>
      <c r="J18" s="13">
        <f>-Parameters!$B$32/Parameters!$B$33*D18*'Ages of children &amp; diapers used'!N16</f>
        <v>-76.124999999999986</v>
      </c>
      <c r="K18" s="13">
        <f>-Parameters!$B$31*Parameters!$B$14</f>
        <v>-400</v>
      </c>
      <c r="L18" s="13">
        <f>-Parameters!$B$28*Parameters!$B$27*Parameters!$B$12*Parameters!$B$13*D18</f>
        <v>-2923.2</v>
      </c>
      <c r="M18" s="29">
        <f t="shared" si="0"/>
        <v>4640.6750000000002</v>
      </c>
      <c r="N18" s="29">
        <f>M18/((1+Parameters!$C$38)^(C18-1))</f>
        <v>4549.6813725490174</v>
      </c>
      <c r="O18" s="21" t="str">
        <f t="shared" si="1"/>
        <v>OK</v>
      </c>
      <c r="Q18" s="26">
        <f t="shared" si="2"/>
        <v>0.98039215686274461</v>
      </c>
      <c r="R18" s="25" t="str">
        <f t="shared" si="3"/>
        <v>OK</v>
      </c>
    </row>
    <row r="19" spans="1:18" x14ac:dyDescent="0.25">
      <c r="A19" s="4">
        <v>43862</v>
      </c>
      <c r="B19">
        <f t="shared" si="4"/>
        <v>2</v>
      </c>
      <c r="C19">
        <f t="shared" si="5"/>
        <v>14</v>
      </c>
      <c r="D19">
        <f>IF(MONTH(A19)=Parameters!$B$40,(1+Parameters!$B$39)^'Projection_15 hours'!B19,'Projection_15 hours'!D18)</f>
        <v>1.0149999999999999</v>
      </c>
      <c r="E19">
        <f>SUM('Ages of children &amp; diapers used'!I17:K17)</f>
        <v>4</v>
      </c>
      <c r="F19">
        <f>SUM('Ages of children &amp; diapers used'!L17:M17)</f>
        <v>5</v>
      </c>
      <c r="G19" s="21" t="str">
        <f>IF(E19+F19='Ages of children &amp; diapers used'!O17,"OK","ERROR")</f>
        <v>OK</v>
      </c>
      <c r="H19" s="13">
        <f>(E19*$B$1+F19*$B$3)*Parameters!$B$12</f>
        <v>7740</v>
      </c>
      <c r="I19" s="13">
        <f>'Ages of children &amp; diapers used'!N17*Parameters!$B$23</f>
        <v>300</v>
      </c>
      <c r="J19" s="13">
        <f>-Parameters!$B$32/Parameters!$B$33*D19*'Ages of children &amp; diapers used'!N17</f>
        <v>-76.124999999999986</v>
      </c>
      <c r="K19" s="13">
        <f>-Parameters!$B$31*Parameters!$B$14</f>
        <v>-400</v>
      </c>
      <c r="L19" s="13">
        <f>-Parameters!$B$28*Parameters!$B$27*Parameters!$B$12*Parameters!$B$13*D19</f>
        <v>-2923.2</v>
      </c>
      <c r="M19" s="29">
        <f t="shared" si="0"/>
        <v>4640.6750000000002</v>
      </c>
      <c r="N19" s="29">
        <f>M19/((1+Parameters!$C$38)^(C19-1))</f>
        <v>4542.179593662162</v>
      </c>
      <c r="O19" s="21" t="str">
        <f t="shared" si="1"/>
        <v>OK</v>
      </c>
      <c r="Q19" s="26">
        <f t="shared" si="2"/>
        <v>0.97877562933456053</v>
      </c>
      <c r="R19" s="25" t="str">
        <f t="shared" si="3"/>
        <v>OK</v>
      </c>
    </row>
    <row r="20" spans="1:18" x14ac:dyDescent="0.25">
      <c r="A20" s="4">
        <v>43891</v>
      </c>
      <c r="B20">
        <f t="shared" si="4"/>
        <v>2</v>
      </c>
      <c r="C20">
        <f t="shared" si="5"/>
        <v>15</v>
      </c>
      <c r="D20">
        <f>IF(MONTH(A20)=Parameters!$B$40,(1+Parameters!$B$39)^'Projection_15 hours'!B20,'Projection_15 hours'!D19)</f>
        <v>1.0149999999999999</v>
      </c>
      <c r="E20">
        <f>SUM('Ages of children &amp; diapers used'!I18:K18)</f>
        <v>4</v>
      </c>
      <c r="F20">
        <f>SUM('Ages of children &amp; diapers used'!L18:M18)</f>
        <v>5</v>
      </c>
      <c r="G20" s="21" t="str">
        <f>IF(E20+F20='Ages of children &amp; diapers used'!O18,"OK","ERROR")</f>
        <v>OK</v>
      </c>
      <c r="H20" s="13">
        <f>(E20*$B$1+F20*$B$3)*Parameters!$B$12</f>
        <v>7740</v>
      </c>
      <c r="I20" s="13">
        <f>'Ages of children &amp; diapers used'!N18*Parameters!$B$23</f>
        <v>300</v>
      </c>
      <c r="J20" s="13">
        <f>-Parameters!$B$32/Parameters!$B$33*D20*'Ages of children &amp; diapers used'!N18</f>
        <v>-76.124999999999986</v>
      </c>
      <c r="K20" s="13">
        <f>-Parameters!$B$31*Parameters!$B$14</f>
        <v>-400</v>
      </c>
      <c r="L20" s="13">
        <f>-Parameters!$B$28*Parameters!$B$27*Parameters!$B$12*Parameters!$B$13*D20</f>
        <v>-2923.2</v>
      </c>
      <c r="M20" s="29">
        <f t="shared" si="0"/>
        <v>4640.6750000000002</v>
      </c>
      <c r="N20" s="29">
        <f>M20/((1+Parameters!$C$38)^(C20-1))</f>
        <v>4534.6901841440294</v>
      </c>
      <c r="O20" s="21" t="str">
        <f t="shared" si="1"/>
        <v>OK</v>
      </c>
      <c r="Q20" s="26">
        <f t="shared" si="2"/>
        <v>0.97716176723085091</v>
      </c>
      <c r="R20" s="25" t="str">
        <f t="shared" si="3"/>
        <v>OK</v>
      </c>
    </row>
    <row r="21" spans="1:18" x14ac:dyDescent="0.25">
      <c r="A21" s="4">
        <v>43922</v>
      </c>
      <c r="B21">
        <f t="shared" si="4"/>
        <v>2</v>
      </c>
      <c r="C21">
        <f t="shared" si="5"/>
        <v>16</v>
      </c>
      <c r="D21">
        <f>IF(MONTH(A21)=Parameters!$B$40,(1+Parameters!$B$39)^'Projection_15 hours'!B21,'Projection_15 hours'!D20)</f>
        <v>1.0302249999999997</v>
      </c>
      <c r="E21">
        <f>SUM('Ages of children &amp; diapers used'!I19:K19)</f>
        <v>4</v>
      </c>
      <c r="F21">
        <f>SUM('Ages of children &amp; diapers used'!L19:M19)</f>
        <v>5</v>
      </c>
      <c r="G21" s="21" t="str">
        <f>IF(E21+F21='Ages of children &amp; diapers used'!O19,"OK","ERROR")</f>
        <v>OK</v>
      </c>
      <c r="H21" s="13">
        <f>(E21*$B$1+F21*$B$3)*Parameters!$B$12</f>
        <v>7740</v>
      </c>
      <c r="I21" s="13">
        <f>'Ages of children &amp; diapers used'!N19*Parameters!$B$23</f>
        <v>300</v>
      </c>
      <c r="J21" s="13">
        <f>-Parameters!$B$32/Parameters!$B$33*D21*'Ages of children &amp; diapers used'!N19</f>
        <v>-77.266874999999985</v>
      </c>
      <c r="K21" s="13">
        <f>-Parameters!$B$31*Parameters!$B$14</f>
        <v>-400</v>
      </c>
      <c r="L21" s="13">
        <f>-Parameters!$B$28*Parameters!$B$27*Parameters!$B$12*Parameters!$B$13*D21</f>
        <v>-2967.0479999999993</v>
      </c>
      <c r="M21" s="29">
        <f t="shared" si="0"/>
        <v>4595.685125</v>
      </c>
      <c r="N21" s="29">
        <f>M21/((1+Parameters!$C$38)^(C21-1))</f>
        <v>4483.3232255717157</v>
      </c>
      <c r="O21" s="21" t="str">
        <f t="shared" si="1"/>
        <v>OK</v>
      </c>
      <c r="Q21" s="26">
        <f t="shared" si="2"/>
        <v>0.97555056615670899</v>
      </c>
      <c r="R21" s="25" t="str">
        <f t="shared" si="3"/>
        <v>OK</v>
      </c>
    </row>
    <row r="22" spans="1:18" x14ac:dyDescent="0.25">
      <c r="A22" s="4">
        <v>43952</v>
      </c>
      <c r="B22">
        <f t="shared" si="4"/>
        <v>2</v>
      </c>
      <c r="C22">
        <f t="shared" si="5"/>
        <v>17</v>
      </c>
      <c r="D22">
        <f>IF(MONTH(A22)=Parameters!$B$40,(1+Parameters!$B$39)^'Projection_15 hours'!B22,'Projection_15 hours'!D21)</f>
        <v>1.0302249999999997</v>
      </c>
      <c r="E22">
        <f>SUM('Ages of children &amp; diapers used'!I20:K20)</f>
        <v>4</v>
      </c>
      <c r="F22">
        <f>SUM('Ages of children &amp; diapers used'!L20:M20)</f>
        <v>5</v>
      </c>
      <c r="G22" s="21" t="str">
        <f>IF(E22+F22='Ages of children &amp; diapers used'!O20,"OK","ERROR")</f>
        <v>OK</v>
      </c>
      <c r="H22" s="13">
        <f>(E22*$B$1+F22*$B$3)*Parameters!$B$12</f>
        <v>7740</v>
      </c>
      <c r="I22" s="13">
        <f>'Ages of children &amp; diapers used'!N20*Parameters!$B$23</f>
        <v>300</v>
      </c>
      <c r="J22" s="13">
        <f>-Parameters!$B$32/Parameters!$B$33*D22*'Ages of children &amp; diapers used'!N20</f>
        <v>-77.266874999999985</v>
      </c>
      <c r="K22" s="13">
        <f>-Parameters!$B$31*Parameters!$B$14</f>
        <v>-400</v>
      </c>
      <c r="L22" s="13">
        <f>-Parameters!$B$28*Parameters!$B$27*Parameters!$B$12*Parameters!$B$13*D22</f>
        <v>-2967.0479999999993</v>
      </c>
      <c r="M22" s="29">
        <f t="shared" si="0"/>
        <v>4595.685125</v>
      </c>
      <c r="N22" s="29">
        <f>M22/((1+Parameters!$C$38)^(C22-1))</f>
        <v>4475.9308618515934</v>
      </c>
      <c r="O22" s="21" t="str">
        <f t="shared" si="1"/>
        <v>OK</v>
      </c>
      <c r="Q22" s="26">
        <f t="shared" si="2"/>
        <v>0.9739420217244743</v>
      </c>
      <c r="R22" s="25" t="str">
        <f t="shared" si="3"/>
        <v>OK</v>
      </c>
    </row>
    <row r="23" spans="1:18" x14ac:dyDescent="0.25">
      <c r="A23" s="4">
        <v>43983</v>
      </c>
      <c r="B23">
        <f t="shared" si="4"/>
        <v>2</v>
      </c>
      <c r="C23">
        <f t="shared" si="5"/>
        <v>18</v>
      </c>
      <c r="D23">
        <f>IF(MONTH(A23)=Parameters!$B$40,(1+Parameters!$B$39)^'Projection_15 hours'!B23,'Projection_15 hours'!D22)</f>
        <v>1.0302249999999997</v>
      </c>
      <c r="E23">
        <f>SUM('Ages of children &amp; diapers used'!I21:K21)</f>
        <v>1</v>
      </c>
      <c r="F23">
        <f>SUM('Ages of children &amp; diapers used'!L21:M21)</f>
        <v>5</v>
      </c>
      <c r="G23" s="21" t="str">
        <f>IF(E23+F23='Ages of children &amp; diapers used'!O21,"OK","ERROR")</f>
        <v>OK</v>
      </c>
      <c r="H23" s="13">
        <f>(E23*$B$1+F23*$B$3)*Parameters!$B$12</f>
        <v>4560</v>
      </c>
      <c r="I23" s="13">
        <f>'Ages of children &amp; diapers used'!N21*Parameters!$B$23</f>
        <v>120</v>
      </c>
      <c r="J23" s="13">
        <f>-Parameters!$B$32/Parameters!$B$33*D23*'Ages of children &amp; diapers used'!N21</f>
        <v>-30.906749999999992</v>
      </c>
      <c r="K23" s="13">
        <f>-Parameters!$B$31*Parameters!$B$14</f>
        <v>-400</v>
      </c>
      <c r="L23" s="13">
        <f>-Parameters!$B$28*Parameters!$B$27*Parameters!$B$12*Parameters!$B$13*D23</f>
        <v>-2967.0479999999993</v>
      </c>
      <c r="M23" s="29">
        <f t="shared" si="0"/>
        <v>1282.0452500000006</v>
      </c>
      <c r="N23" s="29">
        <f>M23/((1+Parameters!$C$38)^(C23-1))</f>
        <v>1246.5789162977344</v>
      </c>
      <c r="O23" s="21" t="str">
        <f t="shared" si="1"/>
        <v>OK</v>
      </c>
      <c r="Q23" s="26">
        <f t="shared" si="2"/>
        <v>0.97233612955372195</v>
      </c>
      <c r="R23" s="25" t="str">
        <f t="shared" si="3"/>
        <v>OK</v>
      </c>
    </row>
    <row r="24" spans="1:18" x14ac:dyDescent="0.25">
      <c r="A24" s="4">
        <v>44013</v>
      </c>
      <c r="B24">
        <f t="shared" si="4"/>
        <v>2</v>
      </c>
      <c r="C24">
        <f t="shared" si="5"/>
        <v>19</v>
      </c>
      <c r="D24">
        <f>IF(MONTH(A24)=Parameters!$B$40,(1+Parameters!$B$39)^'Projection_15 hours'!B24,'Projection_15 hours'!D23)</f>
        <v>1.0302249999999997</v>
      </c>
      <c r="E24">
        <f>SUM('Ages of children &amp; diapers used'!I22:K22)</f>
        <v>1</v>
      </c>
      <c r="F24">
        <f>SUM('Ages of children &amp; diapers used'!L22:M22)</f>
        <v>5</v>
      </c>
      <c r="G24" s="21" t="str">
        <f>IF(E24+F24='Ages of children &amp; diapers used'!O22,"OK","ERROR")</f>
        <v>OK</v>
      </c>
      <c r="H24" s="13">
        <f>(E24*$B$1+F24*$B$3)*Parameters!$B$12</f>
        <v>4560</v>
      </c>
      <c r="I24" s="13">
        <f>'Ages of children &amp; diapers used'!N22*Parameters!$B$23</f>
        <v>120</v>
      </c>
      <c r="J24" s="13">
        <f>-Parameters!$B$32/Parameters!$B$33*D24*'Ages of children &amp; diapers used'!N22</f>
        <v>-30.906749999999992</v>
      </c>
      <c r="K24" s="13">
        <f>-Parameters!$B$31*Parameters!$B$14</f>
        <v>-400</v>
      </c>
      <c r="L24" s="13">
        <f>-Parameters!$B$28*Parameters!$B$27*Parameters!$B$12*Parameters!$B$13*D24</f>
        <v>-2967.0479999999993</v>
      </c>
      <c r="M24" s="29">
        <f t="shared" si="0"/>
        <v>1282.0452500000006</v>
      </c>
      <c r="N24" s="29">
        <f>M24/((1+Parameters!$C$38)^(C24-1))</f>
        <v>1244.5234845808002</v>
      </c>
      <c r="O24" s="21" t="str">
        <f t="shared" si="1"/>
        <v>OK</v>
      </c>
      <c r="Q24" s="26">
        <f t="shared" si="2"/>
        <v>0.9707328852712489</v>
      </c>
      <c r="R24" s="25" t="str">
        <f t="shared" si="3"/>
        <v>OK</v>
      </c>
    </row>
    <row r="25" spans="1:18" x14ac:dyDescent="0.25">
      <c r="A25" s="4">
        <v>44044</v>
      </c>
      <c r="B25">
        <f t="shared" si="4"/>
        <v>2</v>
      </c>
      <c r="C25">
        <f t="shared" si="5"/>
        <v>20</v>
      </c>
      <c r="D25">
        <f>IF(MONTH(A25)=Parameters!$B$40,(1+Parameters!$B$39)^'Projection_15 hours'!B25,'Projection_15 hours'!D24)</f>
        <v>1.0302249999999997</v>
      </c>
      <c r="E25">
        <f>SUM('Ages of children &amp; diapers used'!I23:K23)</f>
        <v>1</v>
      </c>
      <c r="F25">
        <f>SUM('Ages of children &amp; diapers used'!L23:M23)</f>
        <v>5</v>
      </c>
      <c r="G25" s="21" t="str">
        <f>IF(E25+F25='Ages of children &amp; diapers used'!O23,"OK","ERROR")</f>
        <v>OK</v>
      </c>
      <c r="H25" s="13">
        <f>(E25*$B$1+F25*$B$3)*Parameters!$B$12</f>
        <v>4560</v>
      </c>
      <c r="I25" s="13">
        <f>'Ages of children &amp; diapers used'!N23*Parameters!$B$23</f>
        <v>120</v>
      </c>
      <c r="J25" s="13">
        <f>-Parameters!$B$32/Parameters!$B$33*D25*'Ages of children &amp; diapers used'!N23</f>
        <v>-30.906749999999992</v>
      </c>
      <c r="K25" s="13">
        <f>-Parameters!$B$31*Parameters!$B$14</f>
        <v>-400</v>
      </c>
      <c r="L25" s="13">
        <f>-Parameters!$B$28*Parameters!$B$27*Parameters!$B$12*Parameters!$B$13*D25</f>
        <v>-2967.0479999999993</v>
      </c>
      <c r="M25" s="29">
        <f t="shared" si="0"/>
        <v>1282.0452500000006</v>
      </c>
      <c r="N25" s="29">
        <f>M25/((1+Parameters!$C$38)^(C25-1))</f>
        <v>1242.4714419790575</v>
      </c>
      <c r="O25" s="21" t="str">
        <f t="shared" si="1"/>
        <v>OK</v>
      </c>
      <c r="Q25" s="26">
        <f t="shared" si="2"/>
        <v>0.96913228451106304</v>
      </c>
      <c r="R25" s="25" t="str">
        <f t="shared" si="3"/>
        <v>OK</v>
      </c>
    </row>
    <row r="26" spans="1:18" x14ac:dyDescent="0.25">
      <c r="A26" s="4">
        <v>44075</v>
      </c>
      <c r="B26">
        <f t="shared" si="4"/>
        <v>2</v>
      </c>
      <c r="C26">
        <f t="shared" si="5"/>
        <v>21</v>
      </c>
      <c r="D26">
        <f>IF(MONTH(A26)=Parameters!$B$40,(1+Parameters!$B$39)^'Projection_15 hours'!B26,'Projection_15 hours'!D25)</f>
        <v>1.0302249999999997</v>
      </c>
      <c r="E26">
        <f>SUM('Ages of children &amp; diapers used'!I24:K24)</f>
        <v>1</v>
      </c>
      <c r="F26">
        <f>SUM('Ages of children &amp; diapers used'!L24:M24)</f>
        <v>5</v>
      </c>
      <c r="G26" s="21" t="str">
        <f>IF(E26+F26='Ages of children &amp; diapers used'!O24,"OK","ERROR")</f>
        <v>OK</v>
      </c>
      <c r="H26" s="13">
        <f>(E26*$B$1+F26*$B$3)*Parameters!$B$12</f>
        <v>4560</v>
      </c>
      <c r="I26" s="13">
        <f>'Ages of children &amp; diapers used'!N24*Parameters!$B$23</f>
        <v>120</v>
      </c>
      <c r="J26" s="13">
        <f>-Parameters!$B$32/Parameters!$B$33*D26*'Ages of children &amp; diapers used'!N24</f>
        <v>-30.906749999999992</v>
      </c>
      <c r="K26" s="13">
        <f>-Parameters!$B$31*Parameters!$B$14</f>
        <v>-400</v>
      </c>
      <c r="L26" s="13">
        <f>-Parameters!$B$28*Parameters!$B$27*Parameters!$B$12*Parameters!$B$13*D26</f>
        <v>-2967.0479999999993</v>
      </c>
      <c r="M26" s="29">
        <f t="shared" si="0"/>
        <v>1282.0452500000006</v>
      </c>
      <c r="N26" s="29">
        <f>M26/((1+Parameters!$C$38)^(C26-1))</f>
        <v>1240.4227829043368</v>
      </c>
      <c r="O26" s="21" t="str">
        <f t="shared" si="1"/>
        <v>OK</v>
      </c>
      <c r="Q26" s="26">
        <f t="shared" si="2"/>
        <v>0.96753432291437158</v>
      </c>
      <c r="R26" s="25" t="str">
        <f t="shared" si="3"/>
        <v>OK</v>
      </c>
    </row>
    <row r="27" spans="1:18" x14ac:dyDescent="0.25">
      <c r="A27" s="4">
        <v>44105</v>
      </c>
      <c r="B27">
        <f t="shared" si="4"/>
        <v>2</v>
      </c>
      <c r="C27">
        <f t="shared" si="5"/>
        <v>22</v>
      </c>
      <c r="D27">
        <f>IF(MONTH(A27)=Parameters!$B$40,(1+Parameters!$B$39)^'Projection_15 hours'!B27,'Projection_15 hours'!D26)</f>
        <v>1.0302249999999997</v>
      </c>
      <c r="E27">
        <f>SUM('Ages of children &amp; diapers used'!I25:K25)</f>
        <v>1</v>
      </c>
      <c r="F27">
        <f>SUM('Ages of children &amp; diapers used'!L25:M25)</f>
        <v>5</v>
      </c>
      <c r="G27" s="21" t="str">
        <f>IF(E27+F27='Ages of children &amp; diapers used'!O25,"OK","ERROR")</f>
        <v>OK</v>
      </c>
      <c r="H27" s="13">
        <f>(E27*$B$1+F27*$B$3)*Parameters!$B$12</f>
        <v>4560</v>
      </c>
      <c r="I27" s="13">
        <f>'Ages of children &amp; diapers used'!N25*Parameters!$B$23</f>
        <v>120</v>
      </c>
      <c r="J27" s="13">
        <f>-Parameters!$B$32/Parameters!$B$33*D27*'Ages of children &amp; diapers used'!N25</f>
        <v>-30.906749999999992</v>
      </c>
      <c r="K27" s="13">
        <f>-Parameters!$B$31*Parameters!$B$14</f>
        <v>-400</v>
      </c>
      <c r="L27" s="13">
        <f>-Parameters!$B$28*Parameters!$B$27*Parameters!$B$12*Parameters!$B$13*D27</f>
        <v>-2967.0479999999993</v>
      </c>
      <c r="M27" s="29">
        <f t="shared" si="0"/>
        <v>1282.0452500000006</v>
      </c>
      <c r="N27" s="29">
        <f>M27/((1+Parameters!$C$38)^(C27-1))</f>
        <v>1238.3775017776823</v>
      </c>
      <c r="O27" s="21" t="str">
        <f t="shared" si="1"/>
        <v>OK</v>
      </c>
      <c r="Q27" s="26">
        <f t="shared" si="2"/>
        <v>0.96593899612956846</v>
      </c>
      <c r="R27" s="25" t="str">
        <f t="shared" si="3"/>
        <v>OK</v>
      </c>
    </row>
    <row r="28" spans="1:18" x14ac:dyDescent="0.25">
      <c r="A28" s="4">
        <v>44136</v>
      </c>
      <c r="B28">
        <f t="shared" si="4"/>
        <v>2</v>
      </c>
      <c r="C28">
        <f t="shared" si="5"/>
        <v>23</v>
      </c>
      <c r="D28">
        <f>IF(MONTH(A28)=Parameters!$B$40,(1+Parameters!$B$39)^'Projection_15 hours'!B28,'Projection_15 hours'!D27)</f>
        <v>1.0302249999999997</v>
      </c>
      <c r="E28">
        <f>SUM('Ages of children &amp; diapers used'!I26:K26)</f>
        <v>1</v>
      </c>
      <c r="F28">
        <f>SUM('Ages of children &amp; diapers used'!L26:M26)</f>
        <v>5</v>
      </c>
      <c r="G28" s="21" t="str">
        <f>IF(E28+F28='Ages of children &amp; diapers used'!O26,"OK","ERROR")</f>
        <v>OK</v>
      </c>
      <c r="H28" s="13">
        <f>(E28*$B$1+F28*$B$3)*Parameters!$B$12</f>
        <v>4560</v>
      </c>
      <c r="I28" s="13">
        <f>'Ages of children &amp; diapers used'!N26*Parameters!$B$23</f>
        <v>120</v>
      </c>
      <c r="J28" s="13">
        <f>-Parameters!$B$32/Parameters!$B$33*D28*'Ages of children &amp; diapers used'!N26</f>
        <v>-30.906749999999992</v>
      </c>
      <c r="K28" s="13">
        <f>-Parameters!$B$31*Parameters!$B$14</f>
        <v>-400</v>
      </c>
      <c r="L28" s="13">
        <f>-Parameters!$B$28*Parameters!$B$27*Parameters!$B$12*Parameters!$B$13*D28</f>
        <v>-2967.0479999999993</v>
      </c>
      <c r="M28" s="29">
        <f t="shared" si="0"/>
        <v>1282.0452500000006</v>
      </c>
      <c r="N28" s="29">
        <f>M28/((1+Parameters!$C$38)^(C28-1))</f>
        <v>1236.3355930293367</v>
      </c>
      <c r="O28" s="21" t="str">
        <f t="shared" si="1"/>
        <v>OK</v>
      </c>
      <c r="Q28" s="26">
        <f t="shared" si="2"/>
        <v>0.96434629981222275</v>
      </c>
      <c r="R28" s="25" t="str">
        <f t="shared" si="3"/>
        <v>OK</v>
      </c>
    </row>
    <row r="29" spans="1:18" x14ac:dyDescent="0.25">
      <c r="A29" s="4">
        <v>44166</v>
      </c>
      <c r="B29">
        <f t="shared" si="4"/>
        <v>2</v>
      </c>
      <c r="C29">
        <f t="shared" si="5"/>
        <v>24</v>
      </c>
      <c r="D29">
        <f>IF(MONTH(A29)=Parameters!$B$40,(1+Parameters!$B$39)^'Projection_15 hours'!B29,'Projection_15 hours'!D28)</f>
        <v>1.0302249999999997</v>
      </c>
      <c r="E29">
        <f>SUM('Ages of children &amp; diapers used'!I27:K27)</f>
        <v>1</v>
      </c>
      <c r="F29">
        <f>SUM('Ages of children &amp; diapers used'!L27:M27)</f>
        <v>5</v>
      </c>
      <c r="G29" s="21" t="str">
        <f>IF(E29+F29='Ages of children &amp; diapers used'!O27,"OK","ERROR")</f>
        <v>OK</v>
      </c>
      <c r="H29" s="13">
        <f>(E29*$B$1+F29*$B$3)*Parameters!$B$12</f>
        <v>4560</v>
      </c>
      <c r="I29" s="13">
        <f>'Ages of children &amp; diapers used'!N27*Parameters!$B$23</f>
        <v>120</v>
      </c>
      <c r="J29" s="13">
        <f>-Parameters!$B$32/Parameters!$B$33*D29*'Ages of children &amp; diapers used'!N27</f>
        <v>-30.906749999999992</v>
      </c>
      <c r="K29" s="13">
        <f>-Parameters!$B$31*Parameters!$B$14</f>
        <v>-400</v>
      </c>
      <c r="L29" s="13">
        <f>-Parameters!$B$28*Parameters!$B$27*Parameters!$B$12*Parameters!$B$13*D29</f>
        <v>-2967.0479999999993</v>
      </c>
      <c r="M29" s="29">
        <f t="shared" si="0"/>
        <v>1282.0452500000006</v>
      </c>
      <c r="N29" s="29">
        <f>M29/((1+Parameters!$C$38)^(C29-1))</f>
        <v>1234.297051098727</v>
      </c>
      <c r="O29" s="21" t="str">
        <f t="shared" si="1"/>
        <v>OK</v>
      </c>
      <c r="Q29" s="26">
        <f t="shared" si="2"/>
        <v>0.96275622962506702</v>
      </c>
      <c r="R29" s="25" t="str">
        <f t="shared" si="3"/>
        <v>OK</v>
      </c>
    </row>
    <row r="31" spans="1:18" x14ac:dyDescent="0.25">
      <c r="P31" s="27" t="s">
        <v>85</v>
      </c>
      <c r="Q31" s="26">
        <f>(1+Parameters!B38)^-2</f>
        <v>0.96116878123798544</v>
      </c>
    </row>
    <row r="32" spans="1:18" x14ac:dyDescent="0.25">
      <c r="P32" s="27" t="s">
        <v>86</v>
      </c>
      <c r="Q32" s="28" t="str">
        <f>IF(ABS(1-Q31/Q29)&lt;1%,"OK","ERROR")</f>
        <v>OK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P29"/>
  <sheetViews>
    <sheetView workbookViewId="0"/>
  </sheetViews>
  <sheetFormatPr defaultRowHeight="15" x14ac:dyDescent="0.25"/>
  <cols>
    <col min="1" max="1" width="31.140625" customWidth="1"/>
    <col min="2" max="6" width="11" customWidth="1"/>
    <col min="7" max="7" width="17.85546875" bestFit="1" customWidth="1"/>
    <col min="8" max="8" width="11.85546875" bestFit="1" customWidth="1"/>
    <col min="13" max="13" width="10.85546875" bestFit="1" customWidth="1"/>
    <col min="14" max="14" width="11.140625" style="19" customWidth="1"/>
  </cols>
  <sheetData>
    <row r="1" spans="1:16" ht="30" x14ac:dyDescent="0.25">
      <c r="A1" s="1" t="s">
        <v>21</v>
      </c>
      <c r="B1" s="12">
        <f>(Parameters!B9/Parameters!B10)*'Projection_30 hours'!B4</f>
        <v>66.381858930787573</v>
      </c>
    </row>
    <row r="2" spans="1:16" ht="30" x14ac:dyDescent="0.25">
      <c r="A2" s="1" t="s">
        <v>94</v>
      </c>
      <c r="B2">
        <f>Parameters!B13*Parameters!B15-Parameters!B21</f>
        <v>20</v>
      </c>
      <c r="C2" s="7"/>
      <c r="I2" s="7"/>
      <c r="L2" s="1" t="s">
        <v>34</v>
      </c>
      <c r="M2" s="6">
        <f>SUM(M6:M29)</f>
        <v>94484.679999999949</v>
      </c>
    </row>
    <row r="3" spans="1:16" ht="30" x14ac:dyDescent="0.25">
      <c r="A3" s="1" t="s">
        <v>93</v>
      </c>
      <c r="B3" s="11">
        <f>B4*'Projection_30 hours'!B2/(Parameters!B13*Parameters!B15)</f>
        <v>25.04975808708965</v>
      </c>
      <c r="L3" s="1" t="s">
        <v>35</v>
      </c>
      <c r="M3" s="6">
        <f>'Projection_15 hours'!N2</f>
        <v>94484.681692082071</v>
      </c>
    </row>
    <row r="4" spans="1:16" ht="30" x14ac:dyDescent="0.25">
      <c r="A4" s="1" t="s">
        <v>95</v>
      </c>
      <c r="B4" s="9">
        <v>62.624395217724121</v>
      </c>
      <c r="E4" s="7"/>
      <c r="L4" s="14" t="s">
        <v>36</v>
      </c>
      <c r="M4" s="14" t="str">
        <f>IF(ABS(M2-M3)&lt;0.1,"Goalseek OK","Re-run Goalseek")</f>
        <v>Goalseek OK</v>
      </c>
    </row>
    <row r="5" spans="1:16" s="1" customFormat="1" ht="60" x14ac:dyDescent="0.25">
      <c r="A5" s="1" t="s">
        <v>19</v>
      </c>
      <c r="B5" s="23" t="s">
        <v>28</v>
      </c>
      <c r="C5" s="23" t="s">
        <v>32</v>
      </c>
      <c r="D5" s="23" t="s">
        <v>27</v>
      </c>
      <c r="E5" s="23" t="s">
        <v>23</v>
      </c>
      <c r="F5" s="23" t="s">
        <v>96</v>
      </c>
      <c r="G5" s="23" t="s">
        <v>74</v>
      </c>
      <c r="H5" s="23" t="s">
        <v>75</v>
      </c>
      <c r="I5" s="23" t="s">
        <v>76</v>
      </c>
      <c r="J5" s="23" t="s">
        <v>25</v>
      </c>
      <c r="K5" s="23" t="s">
        <v>26</v>
      </c>
      <c r="L5" s="23" t="s">
        <v>30</v>
      </c>
      <c r="M5" s="23" t="s">
        <v>88</v>
      </c>
      <c r="N5" s="20" t="s">
        <v>81</v>
      </c>
    </row>
    <row r="6" spans="1:16" x14ac:dyDescent="0.25">
      <c r="A6" s="4">
        <v>43466</v>
      </c>
      <c r="B6" s="5">
        <v>1</v>
      </c>
      <c r="C6" s="10">
        <v>1</v>
      </c>
      <c r="D6" s="5">
        <v>1</v>
      </c>
      <c r="E6">
        <f>SUM('Ages of children &amp; diapers used'!I4:K4)</f>
        <v>6</v>
      </c>
      <c r="F6">
        <f>SUM('Ages of children &amp; diapers used'!L4:M4)</f>
        <v>4</v>
      </c>
      <c r="G6" s="13">
        <f>(E6*$B$1+F6*$B$3)*Parameters!$B$12</f>
        <v>9969.8037186616803</v>
      </c>
      <c r="H6" s="13">
        <f>'Ages of children &amp; diapers used'!N4*Parameters!$B$23</f>
        <v>520</v>
      </c>
      <c r="I6" s="13">
        <f>-Parameters!$B$32/Parameters!$B$33*D6*'Ages of children &amp; diapers used'!N4</f>
        <v>-130</v>
      </c>
      <c r="J6" s="13">
        <f>-Parameters!$B$31*Parameters!$B$14</f>
        <v>-400</v>
      </c>
      <c r="K6" s="18">
        <f>-Parameters!$B$28*Parameters!$B$27*Parameters!$B$12*Parameters!$B$13*D6</f>
        <v>-2880</v>
      </c>
      <c r="L6" s="29">
        <f>SUM(G6:K6)</f>
        <v>7079.8037186616803</v>
      </c>
      <c r="M6" s="29">
        <f>L6/((1+Parameters!$C$38)^('Projection_30 hours'!C6-1))</f>
        <v>7079.8037186616803</v>
      </c>
      <c r="N6" s="21" t="str">
        <f>IF(L6&lt;M6,"CHECK","OK")</f>
        <v>OK</v>
      </c>
    </row>
    <row r="7" spans="1:16" x14ac:dyDescent="0.25">
      <c r="A7" s="4">
        <v>43497</v>
      </c>
      <c r="B7">
        <f>IF(YEAR(A7)=YEAR(A6),B6,B6+1)</f>
        <v>1</v>
      </c>
      <c r="C7">
        <f>C6+1</f>
        <v>2</v>
      </c>
      <c r="D7">
        <f>IF(MONTH(A7)=Parameters!$B$40,(1+Parameters!$B$39)^'Projection_30 hours'!B7,'Projection_30 hours'!D6)</f>
        <v>1</v>
      </c>
      <c r="E7">
        <f>SUM('Ages of children &amp; diapers used'!I5:K5)</f>
        <v>6</v>
      </c>
      <c r="F7">
        <f>SUM('Ages of children &amp; diapers used'!L5:M5)</f>
        <v>4</v>
      </c>
      <c r="G7" s="13">
        <f>(E7*$B$1+F7*$B$3)*Parameters!$B$12</f>
        <v>9969.8037186616803</v>
      </c>
      <c r="H7" s="13">
        <f>'Ages of children &amp; diapers used'!N5*Parameters!$B$23</f>
        <v>520</v>
      </c>
      <c r="I7" s="13">
        <f>-Parameters!$B$32/Parameters!$B$33*D7*'Ages of children &amp; diapers used'!N5</f>
        <v>-130</v>
      </c>
      <c r="J7" s="13">
        <f>-Parameters!$B$31*Parameters!$B$14</f>
        <v>-400</v>
      </c>
      <c r="K7" s="13">
        <f>-Parameters!$B$28*Parameters!$B$27*Parameters!$B$12*Parameters!$B$13*D7</f>
        <v>-2880</v>
      </c>
      <c r="L7" s="29">
        <f t="shared" ref="L7:L29" si="0">SUM(G7:K7)</f>
        <v>7079.8037186616803</v>
      </c>
      <c r="M7" s="29">
        <f>L7/((1+Parameters!$C$38)^('Projection_30 hours'!C7-1))</f>
        <v>7068.1301271042157</v>
      </c>
      <c r="N7" s="21" t="str">
        <f t="shared" ref="N7:N29" si="1">IF(L7&lt;M7,"CHECK","OK")</f>
        <v>OK</v>
      </c>
      <c r="P7" s="3" t="s">
        <v>40</v>
      </c>
    </row>
    <row r="8" spans="1:16" x14ac:dyDescent="0.25">
      <c r="A8" s="4">
        <v>43525</v>
      </c>
      <c r="B8">
        <f t="shared" ref="B8:B29" si="2">IF(YEAR(A8)=YEAR(A7),B7,B7+1)</f>
        <v>1</v>
      </c>
      <c r="C8">
        <f t="shared" ref="C8:C29" si="3">C7+1</f>
        <v>3</v>
      </c>
      <c r="D8">
        <f>IF(MONTH(A8)=Parameters!$B$40,(1+Parameters!$B$39)^'Projection_30 hours'!B8,'Projection_30 hours'!D7)</f>
        <v>1</v>
      </c>
      <c r="E8">
        <f>SUM('Ages of children &amp; diapers used'!I6:K6)</f>
        <v>6</v>
      </c>
      <c r="F8">
        <f>SUM('Ages of children &amp; diapers used'!L6:M6)</f>
        <v>4</v>
      </c>
      <c r="G8" s="13">
        <f>(E8*$B$1+F8*$B$3)*Parameters!$B$12</f>
        <v>9969.8037186616803</v>
      </c>
      <c r="H8" s="13">
        <f>'Ages of children &amp; diapers used'!N6*Parameters!$B$23</f>
        <v>520</v>
      </c>
      <c r="I8" s="13">
        <f>-Parameters!$B$32/Parameters!$B$33*D8*'Ages of children &amp; diapers used'!N6</f>
        <v>-130</v>
      </c>
      <c r="J8" s="13">
        <f>-Parameters!$B$31*Parameters!$B$14</f>
        <v>-400</v>
      </c>
      <c r="K8" s="13">
        <f>-Parameters!$B$28*Parameters!$B$27*Parameters!$B$12*Parameters!$B$13*D8</f>
        <v>-2880</v>
      </c>
      <c r="L8" s="29">
        <f t="shared" si="0"/>
        <v>7079.8037186616803</v>
      </c>
      <c r="M8" s="29">
        <f>L8/((1+Parameters!$C$38)^('Projection_30 hours'!C8-1))</f>
        <v>7056.4757836424997</v>
      </c>
      <c r="N8" s="21" t="str">
        <f t="shared" si="1"/>
        <v>OK</v>
      </c>
      <c r="P8" t="s">
        <v>42</v>
      </c>
    </row>
    <row r="9" spans="1:16" x14ac:dyDescent="0.25">
      <c r="A9" s="4">
        <v>43556</v>
      </c>
      <c r="B9">
        <f t="shared" si="2"/>
        <v>1</v>
      </c>
      <c r="C9">
        <f t="shared" si="3"/>
        <v>4</v>
      </c>
      <c r="D9">
        <f>IF(MONTH(A9)=Parameters!$B$40,(1+Parameters!$B$39)^'Projection_30 hours'!B9,'Projection_30 hours'!D8)</f>
        <v>1.0149999999999999</v>
      </c>
      <c r="E9">
        <f>SUM('Ages of children &amp; diapers used'!I7:K7)</f>
        <v>6</v>
      </c>
      <c r="F9">
        <f>SUM('Ages of children &amp; diapers used'!L7:M7)</f>
        <v>4</v>
      </c>
      <c r="G9" s="13">
        <f>(E9*$B$1+F9*$B$3)*Parameters!$B$12</f>
        <v>9969.8037186616803</v>
      </c>
      <c r="H9" s="13">
        <f>'Ages of children &amp; diapers used'!N7*Parameters!$B$23</f>
        <v>520</v>
      </c>
      <c r="I9" s="13">
        <f>-Parameters!$B$32/Parameters!$B$33*D9*'Ages of children &amp; diapers used'!N7</f>
        <v>-131.94999999999999</v>
      </c>
      <c r="J9" s="13">
        <f>-Parameters!$B$31*Parameters!$B$14</f>
        <v>-400</v>
      </c>
      <c r="K9" s="13">
        <f>-Parameters!$B$28*Parameters!$B$27*Parameters!$B$12*Parameters!$B$13*D9</f>
        <v>-2923.2</v>
      </c>
      <c r="L9" s="29">
        <f t="shared" si="0"/>
        <v>7034.6537186616797</v>
      </c>
      <c r="M9" s="29">
        <f>L9/((1+Parameters!$C$38)^('Projection_30 hours'!C9-1))</f>
        <v>6999.9136263159371</v>
      </c>
      <c r="N9" s="21" t="str">
        <f t="shared" si="1"/>
        <v>OK</v>
      </c>
      <c r="P9" t="s">
        <v>43</v>
      </c>
    </row>
    <row r="10" spans="1:16" x14ac:dyDescent="0.25">
      <c r="A10" s="4">
        <v>43586</v>
      </c>
      <c r="B10">
        <f t="shared" si="2"/>
        <v>1</v>
      </c>
      <c r="C10">
        <f t="shared" si="3"/>
        <v>5</v>
      </c>
      <c r="D10">
        <f>IF(MONTH(A10)=Parameters!$B$40,(1+Parameters!$B$39)^'Projection_30 hours'!B10,'Projection_30 hours'!D9)</f>
        <v>1.0149999999999999</v>
      </c>
      <c r="E10">
        <f>SUM('Ages of children &amp; diapers used'!I8:K8)</f>
        <v>6</v>
      </c>
      <c r="F10">
        <f>SUM('Ages of children &amp; diapers used'!L8:M8)</f>
        <v>4</v>
      </c>
      <c r="G10" s="13">
        <f>(E10*$B$1+F10*$B$3)*Parameters!$B$12</f>
        <v>9969.8037186616803</v>
      </c>
      <c r="H10" s="13">
        <f>'Ages of children &amp; diapers used'!N8*Parameters!$B$23</f>
        <v>520</v>
      </c>
      <c r="I10" s="13">
        <f>-Parameters!$B$32/Parameters!$B$33*D10*'Ages of children &amp; diapers used'!N8</f>
        <v>-131.94999999999999</v>
      </c>
      <c r="J10" s="13">
        <f>-Parameters!$B$31*Parameters!$B$14</f>
        <v>-400</v>
      </c>
      <c r="K10" s="13">
        <f>-Parameters!$B$28*Parameters!$B$27*Parameters!$B$12*Parameters!$B$13*D10</f>
        <v>-2923.2</v>
      </c>
      <c r="L10" s="29">
        <f t="shared" si="0"/>
        <v>7034.6537186616797</v>
      </c>
      <c r="M10" s="29">
        <f>L10/((1+Parameters!$C$38)^('Projection_30 hours'!C10-1))</f>
        <v>6988.371762182649</v>
      </c>
      <c r="N10" s="21" t="str">
        <f t="shared" si="1"/>
        <v>OK</v>
      </c>
    </row>
    <row r="11" spans="1:16" x14ac:dyDescent="0.25">
      <c r="A11" s="4">
        <v>43617</v>
      </c>
      <c r="B11">
        <f t="shared" si="2"/>
        <v>1</v>
      </c>
      <c r="C11">
        <f t="shared" si="3"/>
        <v>6</v>
      </c>
      <c r="D11">
        <f>IF(MONTH(A11)=Parameters!$B$40,(1+Parameters!$B$39)^'Projection_30 hours'!B11,'Projection_30 hours'!D10)</f>
        <v>1.0149999999999999</v>
      </c>
      <c r="E11">
        <f>SUM('Ages of children &amp; diapers used'!I9:K9)</f>
        <v>4</v>
      </c>
      <c r="F11">
        <f>SUM('Ages of children &amp; diapers used'!L9:M9)</f>
        <v>5</v>
      </c>
      <c r="G11" s="13">
        <f>(E11*$B$1+F11*$B$3)*Parameters!$B$12</f>
        <v>7815.5245231719709</v>
      </c>
      <c r="H11" s="13">
        <f>'Ages of children &amp; diapers used'!N9*Parameters!$B$23</f>
        <v>300</v>
      </c>
      <c r="I11" s="13">
        <f>-Parameters!$B$32/Parameters!$B$33*D11*'Ages of children &amp; diapers used'!N9</f>
        <v>-76.124999999999986</v>
      </c>
      <c r="J11" s="13">
        <f>-Parameters!$B$31*Parameters!$B$14</f>
        <v>-400</v>
      </c>
      <c r="K11" s="13">
        <f>-Parameters!$B$28*Parameters!$B$27*Parameters!$B$12*Parameters!$B$13*D11</f>
        <v>-2923.2</v>
      </c>
      <c r="L11" s="29">
        <f t="shared" si="0"/>
        <v>4716.1995231719711</v>
      </c>
      <c r="M11" s="29">
        <f>L11/((1+Parameters!$C$38)^('Projection_30 hours'!C11-1))</f>
        <v>4677.4458143754273</v>
      </c>
      <c r="N11" s="21" t="str">
        <f t="shared" si="1"/>
        <v>OK</v>
      </c>
    </row>
    <row r="12" spans="1:16" x14ac:dyDescent="0.25">
      <c r="A12" s="4">
        <v>43647</v>
      </c>
      <c r="B12">
        <f t="shared" si="2"/>
        <v>1</v>
      </c>
      <c r="C12">
        <f t="shared" si="3"/>
        <v>7</v>
      </c>
      <c r="D12">
        <f>IF(MONTH(A12)=Parameters!$B$40,(1+Parameters!$B$39)^'Projection_30 hours'!B12,'Projection_30 hours'!D11)</f>
        <v>1.0149999999999999</v>
      </c>
      <c r="E12">
        <f>SUM('Ages of children &amp; diapers used'!I10:K10)</f>
        <v>4</v>
      </c>
      <c r="F12">
        <f>SUM('Ages of children &amp; diapers used'!L10:M10)</f>
        <v>5</v>
      </c>
      <c r="G12" s="13">
        <f>(E12*$B$1+F12*$B$3)*Parameters!$B$12</f>
        <v>7815.5245231719709</v>
      </c>
      <c r="H12" s="13">
        <f>'Ages of children &amp; diapers used'!N10*Parameters!$B$23</f>
        <v>300</v>
      </c>
      <c r="I12" s="13">
        <f>-Parameters!$B$32/Parameters!$B$33*D12*'Ages of children &amp; diapers used'!N10</f>
        <v>-76.124999999999986</v>
      </c>
      <c r="J12" s="13">
        <f>-Parameters!$B$31*Parameters!$B$14</f>
        <v>-400</v>
      </c>
      <c r="K12" s="13">
        <f>-Parameters!$B$28*Parameters!$B$27*Parameters!$B$12*Parameters!$B$13*D12</f>
        <v>-2923.2</v>
      </c>
      <c r="L12" s="29">
        <f t="shared" si="0"/>
        <v>4716.1995231719711</v>
      </c>
      <c r="M12" s="29">
        <f>L12/((1+Parameters!$C$38)^('Projection_30 hours'!C12-1))</f>
        <v>4669.7333700564895</v>
      </c>
      <c r="N12" s="21" t="str">
        <f t="shared" si="1"/>
        <v>OK</v>
      </c>
    </row>
    <row r="13" spans="1:16" x14ac:dyDescent="0.25">
      <c r="A13" s="4">
        <v>43678</v>
      </c>
      <c r="B13">
        <f t="shared" si="2"/>
        <v>1</v>
      </c>
      <c r="C13">
        <f t="shared" si="3"/>
        <v>8</v>
      </c>
      <c r="D13">
        <f>IF(MONTH(A13)=Parameters!$B$40,(1+Parameters!$B$39)^'Projection_30 hours'!B13,'Projection_30 hours'!D12)</f>
        <v>1.0149999999999999</v>
      </c>
      <c r="E13">
        <f>SUM('Ages of children &amp; diapers used'!I11:K11)</f>
        <v>4</v>
      </c>
      <c r="F13">
        <f>SUM('Ages of children &amp; diapers used'!L11:M11)</f>
        <v>5</v>
      </c>
      <c r="G13" s="13">
        <f>(E13*$B$1+F13*$B$3)*Parameters!$B$12</f>
        <v>7815.5245231719709</v>
      </c>
      <c r="H13" s="13">
        <f>'Ages of children &amp; diapers used'!N11*Parameters!$B$23</f>
        <v>300</v>
      </c>
      <c r="I13" s="13">
        <f>-Parameters!$B$32/Parameters!$B$33*D13*'Ages of children &amp; diapers used'!N11</f>
        <v>-76.124999999999986</v>
      </c>
      <c r="J13" s="13">
        <f>-Parameters!$B$31*Parameters!$B$14</f>
        <v>-400</v>
      </c>
      <c r="K13" s="13">
        <f>-Parameters!$B$28*Parameters!$B$27*Parameters!$B$12*Parameters!$B$13*D13</f>
        <v>-2923.2</v>
      </c>
      <c r="L13" s="29">
        <f t="shared" si="0"/>
        <v>4716.1995231719711</v>
      </c>
      <c r="M13" s="29">
        <f>L13/((1+Parameters!$C$38)^('Projection_30 hours'!C13-1))</f>
        <v>4662.0336424636744</v>
      </c>
      <c r="N13" s="21" t="str">
        <f t="shared" si="1"/>
        <v>OK</v>
      </c>
    </row>
    <row r="14" spans="1:16" x14ac:dyDescent="0.25">
      <c r="A14" s="4">
        <v>43709</v>
      </c>
      <c r="B14">
        <f t="shared" si="2"/>
        <v>1</v>
      </c>
      <c r="C14">
        <f t="shared" si="3"/>
        <v>9</v>
      </c>
      <c r="D14">
        <f>IF(MONTH(A14)=Parameters!$B$40,(1+Parameters!$B$39)^'Projection_30 hours'!B14,'Projection_30 hours'!D13)</f>
        <v>1.0149999999999999</v>
      </c>
      <c r="E14">
        <f>SUM('Ages of children &amp; diapers used'!I12:K12)</f>
        <v>4</v>
      </c>
      <c r="F14">
        <f>SUM('Ages of children &amp; diapers used'!L12:M12)</f>
        <v>5</v>
      </c>
      <c r="G14" s="13">
        <f>(E14*$B$1+F14*$B$3)*Parameters!$B$12</f>
        <v>7815.5245231719709</v>
      </c>
      <c r="H14" s="13">
        <f>'Ages of children &amp; diapers used'!N12*Parameters!$B$23</f>
        <v>300</v>
      </c>
      <c r="I14" s="13">
        <f>-Parameters!$B$32/Parameters!$B$33*D14*'Ages of children &amp; diapers used'!N12</f>
        <v>-76.124999999999986</v>
      </c>
      <c r="J14" s="13">
        <f>-Parameters!$B$31*Parameters!$B$14</f>
        <v>-400</v>
      </c>
      <c r="K14" s="13">
        <f>-Parameters!$B$28*Parameters!$B$27*Parameters!$B$12*Parameters!$B$13*D14</f>
        <v>-2923.2</v>
      </c>
      <c r="L14" s="29">
        <f t="shared" si="0"/>
        <v>4716.1995231719711</v>
      </c>
      <c r="M14" s="29">
        <f>L14/((1+Parameters!$C$38)^('Projection_30 hours'!C14-1))</f>
        <v>4654.3466106289025</v>
      </c>
      <c r="N14" s="21" t="str">
        <f t="shared" si="1"/>
        <v>OK</v>
      </c>
    </row>
    <row r="15" spans="1:16" x14ac:dyDescent="0.25">
      <c r="A15" s="4">
        <v>43739</v>
      </c>
      <c r="B15">
        <f t="shared" si="2"/>
        <v>1</v>
      </c>
      <c r="C15">
        <f t="shared" si="3"/>
        <v>10</v>
      </c>
      <c r="D15">
        <f>IF(MONTH(A15)=Parameters!$B$40,(1+Parameters!$B$39)^'Projection_30 hours'!B15,'Projection_30 hours'!D14)</f>
        <v>1.0149999999999999</v>
      </c>
      <c r="E15">
        <f>SUM('Ages of children &amp; diapers used'!I13:K13)</f>
        <v>4</v>
      </c>
      <c r="F15">
        <f>SUM('Ages of children &amp; diapers used'!L13:M13)</f>
        <v>5</v>
      </c>
      <c r="G15" s="13">
        <f>(E15*$B$1+F15*$B$3)*Parameters!$B$12</f>
        <v>7815.5245231719709</v>
      </c>
      <c r="H15" s="13">
        <f>'Ages of children &amp; diapers used'!N13*Parameters!$B$23</f>
        <v>300</v>
      </c>
      <c r="I15" s="13">
        <f>-Parameters!$B$32/Parameters!$B$33*D15*'Ages of children &amp; diapers used'!N13</f>
        <v>-76.124999999999986</v>
      </c>
      <c r="J15" s="13">
        <f>-Parameters!$B$31*Parameters!$B$14</f>
        <v>-400</v>
      </c>
      <c r="K15" s="13">
        <f>-Parameters!$B$28*Parameters!$B$27*Parameters!$B$12*Parameters!$B$13*D15</f>
        <v>-2923.2</v>
      </c>
      <c r="L15" s="29">
        <f t="shared" si="0"/>
        <v>4716.1995231719711</v>
      </c>
      <c r="M15" s="29">
        <f>L15/((1+Parameters!$C$38)^('Projection_30 hours'!C15-1))</f>
        <v>4646.6722536186753</v>
      </c>
      <c r="N15" s="21" t="str">
        <f t="shared" si="1"/>
        <v>OK</v>
      </c>
    </row>
    <row r="16" spans="1:16" x14ac:dyDescent="0.25">
      <c r="A16" s="4">
        <v>43770</v>
      </c>
      <c r="B16">
        <f t="shared" si="2"/>
        <v>1</v>
      </c>
      <c r="C16">
        <f t="shared" si="3"/>
        <v>11</v>
      </c>
      <c r="D16">
        <f>IF(MONTH(A16)=Parameters!$B$40,(1+Parameters!$B$39)^'Projection_30 hours'!B16,'Projection_30 hours'!D15)</f>
        <v>1.0149999999999999</v>
      </c>
      <c r="E16">
        <f>SUM('Ages of children &amp; diapers used'!I14:K14)</f>
        <v>4</v>
      </c>
      <c r="F16">
        <f>SUM('Ages of children &amp; diapers used'!L14:M14)</f>
        <v>5</v>
      </c>
      <c r="G16" s="13">
        <f>(E16*$B$1+F16*$B$3)*Parameters!$B$12</f>
        <v>7815.5245231719709</v>
      </c>
      <c r="H16" s="13">
        <f>'Ages of children &amp; diapers used'!N14*Parameters!$B$23</f>
        <v>300</v>
      </c>
      <c r="I16" s="13">
        <f>-Parameters!$B$32/Parameters!$B$33*D16*'Ages of children &amp; diapers used'!N14</f>
        <v>-76.124999999999986</v>
      </c>
      <c r="J16" s="13">
        <f>-Parameters!$B$31*Parameters!$B$14</f>
        <v>-400</v>
      </c>
      <c r="K16" s="13">
        <f>-Parameters!$B$28*Parameters!$B$27*Parameters!$B$12*Parameters!$B$13*D16</f>
        <v>-2923.2</v>
      </c>
      <c r="L16" s="29">
        <f t="shared" si="0"/>
        <v>4716.1995231719711</v>
      </c>
      <c r="M16" s="29">
        <f>L16/((1+Parameters!$C$38)^('Projection_30 hours'!C16-1))</f>
        <v>4639.0105505340025</v>
      </c>
      <c r="N16" s="21" t="str">
        <f t="shared" si="1"/>
        <v>OK</v>
      </c>
    </row>
    <row r="17" spans="1:14" x14ac:dyDescent="0.25">
      <c r="A17" s="4">
        <v>43800</v>
      </c>
      <c r="B17">
        <f t="shared" si="2"/>
        <v>1</v>
      </c>
      <c r="C17">
        <f t="shared" si="3"/>
        <v>12</v>
      </c>
      <c r="D17">
        <f>IF(MONTH(A17)=Parameters!$B$40,(1+Parameters!$B$39)^'Projection_30 hours'!B17,'Projection_30 hours'!D16)</f>
        <v>1.0149999999999999</v>
      </c>
      <c r="E17">
        <f>SUM('Ages of children &amp; diapers used'!I15:K15)</f>
        <v>4</v>
      </c>
      <c r="F17">
        <f>SUM('Ages of children &amp; diapers used'!L15:M15)</f>
        <v>5</v>
      </c>
      <c r="G17" s="13">
        <f>(E17*$B$1+F17*$B$3)*Parameters!$B$12</f>
        <v>7815.5245231719709</v>
      </c>
      <c r="H17" s="13">
        <f>'Ages of children &amp; diapers used'!N15*Parameters!$B$23</f>
        <v>300</v>
      </c>
      <c r="I17" s="13">
        <f>-Parameters!$B$32/Parameters!$B$33*D17*'Ages of children &amp; diapers used'!N15</f>
        <v>-76.124999999999986</v>
      </c>
      <c r="J17" s="13">
        <f>-Parameters!$B$31*Parameters!$B$14</f>
        <v>-400</v>
      </c>
      <c r="K17" s="13">
        <f>-Parameters!$B$28*Parameters!$B$27*Parameters!$B$12*Parameters!$B$13*D17</f>
        <v>-2923.2</v>
      </c>
      <c r="L17" s="29">
        <f t="shared" si="0"/>
        <v>4716.1995231719711</v>
      </c>
      <c r="M17" s="29">
        <f>L17/((1+Parameters!$C$38)^('Projection_30 hours'!C17-1))</f>
        <v>4631.361480510358</v>
      </c>
      <c r="N17" s="21" t="str">
        <f t="shared" si="1"/>
        <v>OK</v>
      </c>
    </row>
    <row r="18" spans="1:14" x14ac:dyDescent="0.25">
      <c r="A18" s="4">
        <v>43831</v>
      </c>
      <c r="B18">
        <f t="shared" si="2"/>
        <v>2</v>
      </c>
      <c r="C18">
        <f t="shared" si="3"/>
        <v>13</v>
      </c>
      <c r="D18">
        <f>IF(MONTH(A18)=Parameters!$B$40,(1+Parameters!$B$39)^'Projection_30 hours'!B18,'Projection_30 hours'!D17)</f>
        <v>1.0149999999999999</v>
      </c>
      <c r="E18">
        <f>SUM('Ages of children &amp; diapers used'!I16:K16)</f>
        <v>4</v>
      </c>
      <c r="F18">
        <f>SUM('Ages of children &amp; diapers used'!L16:M16)</f>
        <v>5</v>
      </c>
      <c r="G18" s="13">
        <f>(E18*$B$1+F18*$B$3)*Parameters!$B$12</f>
        <v>7815.5245231719709</v>
      </c>
      <c r="H18" s="13">
        <f>'Ages of children &amp; diapers used'!N16*Parameters!$B$23</f>
        <v>300</v>
      </c>
      <c r="I18" s="13">
        <f>-Parameters!$B$32/Parameters!$B$33*D18*'Ages of children &amp; diapers used'!N16</f>
        <v>-76.124999999999986</v>
      </c>
      <c r="J18" s="13">
        <f>-Parameters!$B$31*Parameters!$B$14</f>
        <v>-400</v>
      </c>
      <c r="K18" s="13">
        <f>-Parameters!$B$28*Parameters!$B$27*Parameters!$B$12*Parameters!$B$13*D18</f>
        <v>-2923.2</v>
      </c>
      <c r="L18" s="29">
        <f t="shared" si="0"/>
        <v>4716.1995231719711</v>
      </c>
      <c r="M18" s="29">
        <f>L18/((1+Parameters!$C$38)^('Projection_30 hours'!C18-1))</f>
        <v>4623.7250227176164</v>
      </c>
      <c r="N18" s="21" t="str">
        <f t="shared" si="1"/>
        <v>OK</v>
      </c>
    </row>
    <row r="19" spans="1:14" x14ac:dyDescent="0.25">
      <c r="A19" s="4">
        <v>43862</v>
      </c>
      <c r="B19">
        <f t="shared" si="2"/>
        <v>2</v>
      </c>
      <c r="C19">
        <f t="shared" si="3"/>
        <v>14</v>
      </c>
      <c r="D19">
        <f>IF(MONTH(A19)=Parameters!$B$40,(1+Parameters!$B$39)^'Projection_30 hours'!B19,'Projection_30 hours'!D18)</f>
        <v>1.0149999999999999</v>
      </c>
      <c r="E19">
        <f>SUM('Ages of children &amp; diapers used'!I17:K17)</f>
        <v>4</v>
      </c>
      <c r="F19">
        <f>SUM('Ages of children &amp; diapers used'!L17:M17)</f>
        <v>5</v>
      </c>
      <c r="G19" s="13">
        <f>(E19*$B$1+F19*$B$3)*Parameters!$B$12</f>
        <v>7815.5245231719709</v>
      </c>
      <c r="H19" s="13">
        <f>'Ages of children &amp; diapers used'!N17*Parameters!$B$23</f>
        <v>300</v>
      </c>
      <c r="I19" s="13">
        <f>-Parameters!$B$32/Parameters!$B$33*D19*'Ages of children &amp; diapers used'!N17</f>
        <v>-76.124999999999986</v>
      </c>
      <c r="J19" s="13">
        <f>-Parameters!$B$31*Parameters!$B$14</f>
        <v>-400</v>
      </c>
      <c r="K19" s="13">
        <f>-Parameters!$B$28*Parameters!$B$27*Parameters!$B$12*Parameters!$B$13*D19</f>
        <v>-2923.2</v>
      </c>
      <c r="L19" s="29">
        <f t="shared" si="0"/>
        <v>4716.1995231719711</v>
      </c>
      <c r="M19" s="29">
        <f>L19/((1+Parameters!$C$38)^('Projection_30 hours'!C19-1))</f>
        <v>4616.1011563600005</v>
      </c>
      <c r="N19" s="21" t="str">
        <f t="shared" si="1"/>
        <v>OK</v>
      </c>
    </row>
    <row r="20" spans="1:14" x14ac:dyDescent="0.25">
      <c r="A20" s="4">
        <v>43891</v>
      </c>
      <c r="B20">
        <f t="shared" si="2"/>
        <v>2</v>
      </c>
      <c r="C20">
        <f t="shared" si="3"/>
        <v>15</v>
      </c>
      <c r="D20">
        <f>IF(MONTH(A20)=Parameters!$B$40,(1+Parameters!$B$39)^'Projection_30 hours'!B20,'Projection_30 hours'!D19)</f>
        <v>1.0149999999999999</v>
      </c>
      <c r="E20">
        <f>SUM('Ages of children &amp; diapers used'!I18:K18)</f>
        <v>4</v>
      </c>
      <c r="F20">
        <f>SUM('Ages of children &amp; diapers used'!L18:M18)</f>
        <v>5</v>
      </c>
      <c r="G20" s="13">
        <f>(E20*$B$1+F20*$B$3)*Parameters!$B$12</f>
        <v>7815.5245231719709</v>
      </c>
      <c r="H20" s="13">
        <f>'Ages of children &amp; diapers used'!N18*Parameters!$B$23</f>
        <v>300</v>
      </c>
      <c r="I20" s="13">
        <f>-Parameters!$B$32/Parameters!$B$33*D20*'Ages of children &amp; diapers used'!N18</f>
        <v>-76.124999999999986</v>
      </c>
      <c r="J20" s="13">
        <f>-Parameters!$B$31*Parameters!$B$14</f>
        <v>-400</v>
      </c>
      <c r="K20" s="13">
        <f>-Parameters!$B$28*Parameters!$B$27*Parameters!$B$12*Parameters!$B$13*D20</f>
        <v>-2923.2</v>
      </c>
      <c r="L20" s="29">
        <f t="shared" si="0"/>
        <v>4716.1995231719711</v>
      </c>
      <c r="M20" s="29">
        <f>L20/((1+Parameters!$C$38)^('Projection_30 hours'!C20-1))</f>
        <v>4608.4898606760198</v>
      </c>
      <c r="N20" s="21" t="str">
        <f t="shared" si="1"/>
        <v>OK</v>
      </c>
    </row>
    <row r="21" spans="1:14" x14ac:dyDescent="0.25">
      <c r="A21" s="4">
        <v>43922</v>
      </c>
      <c r="B21">
        <f t="shared" si="2"/>
        <v>2</v>
      </c>
      <c r="C21">
        <f t="shared" si="3"/>
        <v>16</v>
      </c>
      <c r="D21">
        <f>IF(MONTH(A21)=Parameters!$B$40,(1+Parameters!$B$39)^'Projection_30 hours'!B21,'Projection_30 hours'!D20)</f>
        <v>1.0302249999999997</v>
      </c>
      <c r="E21">
        <f>SUM('Ages of children &amp; diapers used'!I19:K19)</f>
        <v>4</v>
      </c>
      <c r="F21">
        <f>SUM('Ages of children &amp; diapers used'!L19:M19)</f>
        <v>5</v>
      </c>
      <c r="G21" s="13">
        <f>(E21*$B$1+F21*$B$3)*Parameters!$B$12</f>
        <v>7815.5245231719709</v>
      </c>
      <c r="H21" s="13">
        <f>'Ages of children &amp; diapers used'!N19*Parameters!$B$23</f>
        <v>300</v>
      </c>
      <c r="I21" s="13">
        <f>-Parameters!$B$32/Parameters!$B$33*D21*'Ages of children &amp; diapers used'!N19</f>
        <v>-77.266874999999985</v>
      </c>
      <c r="J21" s="13">
        <f>-Parameters!$B$31*Parameters!$B$14</f>
        <v>-400</v>
      </c>
      <c r="K21" s="13">
        <f>-Parameters!$B$28*Parameters!$B$27*Parameters!$B$12*Parameters!$B$13*D21</f>
        <v>-2967.0479999999993</v>
      </c>
      <c r="L21" s="29">
        <f t="shared" si="0"/>
        <v>4671.2096481719709</v>
      </c>
      <c r="M21" s="29">
        <f>L21/((1+Parameters!$C$38)^('Projection_30 hours'!C21-1))</f>
        <v>4557.0012169108468</v>
      </c>
      <c r="N21" s="21" t="str">
        <f t="shared" si="1"/>
        <v>OK</v>
      </c>
    </row>
    <row r="22" spans="1:14" x14ac:dyDescent="0.25">
      <c r="A22" s="4">
        <v>43952</v>
      </c>
      <c r="B22">
        <f t="shared" si="2"/>
        <v>2</v>
      </c>
      <c r="C22">
        <f t="shared" si="3"/>
        <v>17</v>
      </c>
      <c r="D22">
        <f>IF(MONTH(A22)=Parameters!$B$40,(1+Parameters!$B$39)^'Projection_30 hours'!B22,'Projection_30 hours'!D21)</f>
        <v>1.0302249999999997</v>
      </c>
      <c r="E22">
        <f>SUM('Ages of children &amp; diapers used'!I20:K20)</f>
        <v>4</v>
      </c>
      <c r="F22">
        <f>SUM('Ages of children &amp; diapers used'!L20:M20)</f>
        <v>5</v>
      </c>
      <c r="G22" s="13">
        <f>(E22*$B$1+F22*$B$3)*Parameters!$B$12</f>
        <v>7815.5245231719709</v>
      </c>
      <c r="H22" s="13">
        <f>'Ages of children &amp; diapers used'!N20*Parameters!$B$23</f>
        <v>300</v>
      </c>
      <c r="I22" s="13">
        <f>-Parameters!$B$32/Parameters!$B$33*D22*'Ages of children &amp; diapers used'!N20</f>
        <v>-77.266874999999985</v>
      </c>
      <c r="J22" s="13">
        <f>-Parameters!$B$31*Parameters!$B$14</f>
        <v>-400</v>
      </c>
      <c r="K22" s="13">
        <f>-Parameters!$B$28*Parameters!$B$27*Parameters!$B$12*Parameters!$B$13*D22</f>
        <v>-2967.0479999999993</v>
      </c>
      <c r="L22" s="29">
        <f t="shared" si="0"/>
        <v>4671.2096481719709</v>
      </c>
      <c r="M22" s="29">
        <f>L22/((1+Parameters!$C$38)^('Projection_30 hours'!C22-1))</f>
        <v>4549.4873686394794</v>
      </c>
      <c r="N22" s="21" t="str">
        <f t="shared" si="1"/>
        <v>OK</v>
      </c>
    </row>
    <row r="23" spans="1:14" x14ac:dyDescent="0.25">
      <c r="A23" s="4">
        <v>43983</v>
      </c>
      <c r="B23">
        <f t="shared" si="2"/>
        <v>2</v>
      </c>
      <c r="C23">
        <f t="shared" si="3"/>
        <v>18</v>
      </c>
      <c r="D23">
        <f>IF(MONTH(A23)=Parameters!$B$40,(1+Parameters!$B$39)^'Projection_30 hours'!B23,'Projection_30 hours'!D22)</f>
        <v>1.0302249999999997</v>
      </c>
      <c r="E23">
        <f>SUM('Ages of children &amp; diapers used'!I21:K21)</f>
        <v>1</v>
      </c>
      <c r="F23">
        <f>SUM('Ages of children &amp; diapers used'!L21:M21)</f>
        <v>5</v>
      </c>
      <c r="G23" s="13">
        <f>(E23*$B$1+F23*$B$3)*Parameters!$B$12</f>
        <v>3832.6129873247169</v>
      </c>
      <c r="H23" s="13">
        <f>'Ages of children &amp; diapers used'!N21*Parameters!$B$23</f>
        <v>120</v>
      </c>
      <c r="I23" s="13">
        <f>-Parameters!$B$32/Parameters!$B$33*D23*'Ages of children &amp; diapers used'!N21</f>
        <v>-30.906749999999992</v>
      </c>
      <c r="J23" s="13">
        <f>-Parameters!$B$31*Parameters!$B$14</f>
        <v>-400</v>
      </c>
      <c r="K23" s="13">
        <f>-Parameters!$B$28*Parameters!$B$27*Parameters!$B$12*Parameters!$B$13*D23</f>
        <v>-2967.0479999999993</v>
      </c>
      <c r="L23" s="29">
        <f t="shared" si="0"/>
        <v>554.65823732471745</v>
      </c>
      <c r="M23" s="29">
        <f>L23/((1+Parameters!$C$38)^('Projection_30 hours'!C23-1))</f>
        <v>539.31424370540549</v>
      </c>
      <c r="N23" s="21" t="str">
        <f t="shared" si="1"/>
        <v>OK</v>
      </c>
    </row>
    <row r="24" spans="1:14" x14ac:dyDescent="0.25">
      <c r="A24" s="4">
        <v>44013</v>
      </c>
      <c r="B24">
        <f t="shared" si="2"/>
        <v>2</v>
      </c>
      <c r="C24">
        <f t="shared" si="3"/>
        <v>19</v>
      </c>
      <c r="D24">
        <f>IF(MONTH(A24)=Parameters!$B$40,(1+Parameters!$B$39)^'Projection_30 hours'!B24,'Projection_30 hours'!D23)</f>
        <v>1.0302249999999997</v>
      </c>
      <c r="E24">
        <f>SUM('Ages of children &amp; diapers used'!I22:K22)</f>
        <v>1</v>
      </c>
      <c r="F24">
        <f>SUM('Ages of children &amp; diapers used'!L22:M22)</f>
        <v>5</v>
      </c>
      <c r="G24" s="13">
        <f>(E24*$B$1+F24*$B$3)*Parameters!$B$12</f>
        <v>3832.6129873247169</v>
      </c>
      <c r="H24" s="13">
        <f>'Ages of children &amp; diapers used'!N22*Parameters!$B$23</f>
        <v>120</v>
      </c>
      <c r="I24" s="13">
        <f>-Parameters!$B$32/Parameters!$B$33*D24*'Ages of children &amp; diapers used'!N22</f>
        <v>-30.906749999999992</v>
      </c>
      <c r="J24" s="13">
        <f>-Parameters!$B$31*Parameters!$B$14</f>
        <v>-400</v>
      </c>
      <c r="K24" s="13">
        <f>-Parameters!$B$28*Parameters!$B$27*Parameters!$B$12*Parameters!$B$13*D24</f>
        <v>-2967.0479999999993</v>
      </c>
      <c r="L24" s="29">
        <f t="shared" si="0"/>
        <v>554.65823732471745</v>
      </c>
      <c r="M24" s="29">
        <f>L24/((1+Parameters!$C$38)^('Projection_30 hours'!C24-1))</f>
        <v>538.42499105768809</v>
      </c>
      <c r="N24" s="21" t="str">
        <f t="shared" si="1"/>
        <v>OK</v>
      </c>
    </row>
    <row r="25" spans="1:14" x14ac:dyDescent="0.25">
      <c r="A25" s="4">
        <v>44044</v>
      </c>
      <c r="B25">
        <f t="shared" si="2"/>
        <v>2</v>
      </c>
      <c r="C25">
        <f t="shared" si="3"/>
        <v>20</v>
      </c>
      <c r="D25">
        <f>IF(MONTH(A25)=Parameters!$B$40,(1+Parameters!$B$39)^'Projection_30 hours'!B25,'Projection_30 hours'!D24)</f>
        <v>1.0302249999999997</v>
      </c>
      <c r="E25">
        <f>SUM('Ages of children &amp; diapers used'!I23:K23)</f>
        <v>1</v>
      </c>
      <c r="F25">
        <f>SUM('Ages of children &amp; diapers used'!L23:M23)</f>
        <v>5</v>
      </c>
      <c r="G25" s="13">
        <f>(E25*$B$1+F25*$B$3)*Parameters!$B$12</f>
        <v>3832.6129873247169</v>
      </c>
      <c r="H25" s="13">
        <f>'Ages of children &amp; diapers used'!N23*Parameters!$B$23</f>
        <v>120</v>
      </c>
      <c r="I25" s="13">
        <f>-Parameters!$B$32/Parameters!$B$33*D25*'Ages of children &amp; diapers used'!N23</f>
        <v>-30.906749999999992</v>
      </c>
      <c r="J25" s="13">
        <f>-Parameters!$B$31*Parameters!$B$14</f>
        <v>-400</v>
      </c>
      <c r="K25" s="13">
        <f>-Parameters!$B$28*Parameters!$B$27*Parameters!$B$12*Parameters!$B$13*D25</f>
        <v>-2967.0479999999993</v>
      </c>
      <c r="L25" s="29">
        <f t="shared" si="0"/>
        <v>554.65823732471745</v>
      </c>
      <c r="M25" s="29">
        <f>L25/((1+Parameters!$C$38)^('Projection_30 hours'!C25-1))</f>
        <v>537.53720466138282</v>
      </c>
      <c r="N25" s="21" t="str">
        <f t="shared" si="1"/>
        <v>OK</v>
      </c>
    </row>
    <row r="26" spans="1:14" x14ac:dyDescent="0.25">
      <c r="A26" s="4">
        <v>44075</v>
      </c>
      <c r="B26">
        <f t="shared" si="2"/>
        <v>2</v>
      </c>
      <c r="C26">
        <f t="shared" si="3"/>
        <v>21</v>
      </c>
      <c r="D26">
        <f>IF(MONTH(A26)=Parameters!$B$40,(1+Parameters!$B$39)^'Projection_30 hours'!B26,'Projection_30 hours'!D25)</f>
        <v>1.0302249999999997</v>
      </c>
      <c r="E26">
        <f>SUM('Ages of children &amp; diapers used'!I24:K24)</f>
        <v>1</v>
      </c>
      <c r="F26">
        <f>SUM('Ages of children &amp; diapers used'!L24:M24)</f>
        <v>5</v>
      </c>
      <c r="G26" s="13">
        <f>(E26*$B$1+F26*$B$3)*Parameters!$B$12</f>
        <v>3832.6129873247169</v>
      </c>
      <c r="H26" s="13">
        <f>'Ages of children &amp; diapers used'!N24*Parameters!$B$23</f>
        <v>120</v>
      </c>
      <c r="I26" s="13">
        <f>-Parameters!$B$32/Parameters!$B$33*D26*'Ages of children &amp; diapers used'!N24</f>
        <v>-30.906749999999992</v>
      </c>
      <c r="J26" s="13">
        <f>-Parameters!$B$31*Parameters!$B$14</f>
        <v>-400</v>
      </c>
      <c r="K26" s="13">
        <f>-Parameters!$B$28*Parameters!$B$27*Parameters!$B$12*Parameters!$B$13*D26</f>
        <v>-2967.0479999999993</v>
      </c>
      <c r="L26" s="29">
        <f t="shared" si="0"/>
        <v>554.65823732471745</v>
      </c>
      <c r="M26" s="29">
        <f>L26/((1+Parameters!$C$38)^('Projection_30 hours'!C26-1))</f>
        <v>536.65088209884937</v>
      </c>
      <c r="N26" s="21" t="str">
        <f t="shared" si="1"/>
        <v>OK</v>
      </c>
    </row>
    <row r="27" spans="1:14" x14ac:dyDescent="0.25">
      <c r="A27" s="4">
        <v>44105</v>
      </c>
      <c r="B27">
        <f t="shared" si="2"/>
        <v>2</v>
      </c>
      <c r="C27">
        <f t="shared" si="3"/>
        <v>22</v>
      </c>
      <c r="D27">
        <f>IF(MONTH(A27)=Parameters!$B$40,(1+Parameters!$B$39)^'Projection_30 hours'!B27,'Projection_30 hours'!D26)</f>
        <v>1.0302249999999997</v>
      </c>
      <c r="E27">
        <f>SUM('Ages of children &amp; diapers used'!I25:K25)</f>
        <v>1</v>
      </c>
      <c r="F27">
        <f>SUM('Ages of children &amp; diapers used'!L25:M25)</f>
        <v>5</v>
      </c>
      <c r="G27" s="13">
        <f>(E27*$B$1+F27*$B$3)*Parameters!$B$12</f>
        <v>3832.6129873247169</v>
      </c>
      <c r="H27" s="13">
        <f>'Ages of children &amp; diapers used'!N25*Parameters!$B$23</f>
        <v>120</v>
      </c>
      <c r="I27" s="13">
        <f>-Parameters!$B$32/Parameters!$B$33*D27*'Ages of children &amp; diapers used'!N25</f>
        <v>-30.906749999999992</v>
      </c>
      <c r="J27" s="13">
        <f>-Parameters!$B$31*Parameters!$B$14</f>
        <v>-400</v>
      </c>
      <c r="K27" s="13">
        <f>-Parameters!$B$28*Parameters!$B$27*Parameters!$B$12*Parameters!$B$13*D27</f>
        <v>-2967.0479999999993</v>
      </c>
      <c r="L27" s="29">
        <f t="shared" si="0"/>
        <v>554.65823732471745</v>
      </c>
      <c r="M27" s="29">
        <f>L27/((1+Parameters!$C$38)^('Projection_30 hours'!C27-1))</f>
        <v>535.76602095643352</v>
      </c>
      <c r="N27" s="21" t="str">
        <f t="shared" si="1"/>
        <v>OK</v>
      </c>
    </row>
    <row r="28" spans="1:14" x14ac:dyDescent="0.25">
      <c r="A28" s="4">
        <v>44136</v>
      </c>
      <c r="B28">
        <f t="shared" si="2"/>
        <v>2</v>
      </c>
      <c r="C28">
        <f t="shared" si="3"/>
        <v>23</v>
      </c>
      <c r="D28">
        <f>IF(MONTH(A28)=Parameters!$B$40,(1+Parameters!$B$39)^'Projection_30 hours'!B28,'Projection_30 hours'!D27)</f>
        <v>1.0302249999999997</v>
      </c>
      <c r="E28">
        <f>SUM('Ages of children &amp; diapers used'!I26:K26)</f>
        <v>1</v>
      </c>
      <c r="F28">
        <f>SUM('Ages of children &amp; diapers used'!L26:M26)</f>
        <v>5</v>
      </c>
      <c r="G28" s="13">
        <f>(E28*$B$1+F28*$B$3)*Parameters!$B$12</f>
        <v>3832.6129873247169</v>
      </c>
      <c r="H28" s="13">
        <f>'Ages of children &amp; diapers used'!N26*Parameters!$B$23</f>
        <v>120</v>
      </c>
      <c r="I28" s="13">
        <f>-Parameters!$B$32/Parameters!$B$33*D28*'Ages of children &amp; diapers used'!N26</f>
        <v>-30.906749999999992</v>
      </c>
      <c r="J28" s="13">
        <f>-Parameters!$B$31*Parameters!$B$14</f>
        <v>-400</v>
      </c>
      <c r="K28" s="13">
        <f>-Parameters!$B$28*Parameters!$B$27*Parameters!$B$12*Parameters!$B$13*D28</f>
        <v>-2967.0479999999993</v>
      </c>
      <c r="L28" s="29">
        <f t="shared" si="0"/>
        <v>554.65823732471745</v>
      </c>
      <c r="M28" s="29">
        <f>L28/((1+Parameters!$C$38)^('Projection_30 hours'!C28-1))</f>
        <v>534.88261882446102</v>
      </c>
      <c r="N28" s="21" t="str">
        <f t="shared" si="1"/>
        <v>OK</v>
      </c>
    </row>
    <row r="29" spans="1:14" x14ac:dyDescent="0.25">
      <c r="A29" s="4">
        <v>44166</v>
      </c>
      <c r="B29">
        <f t="shared" si="2"/>
        <v>2</v>
      </c>
      <c r="C29">
        <f t="shared" si="3"/>
        <v>24</v>
      </c>
      <c r="D29">
        <f>IF(MONTH(A29)=Parameters!$B$40,(1+Parameters!$B$39)^'Projection_30 hours'!B29,'Projection_30 hours'!D28)</f>
        <v>1.0302249999999997</v>
      </c>
      <c r="E29">
        <f>SUM('Ages of children &amp; diapers used'!I27:K27)</f>
        <v>1</v>
      </c>
      <c r="F29">
        <f>SUM('Ages of children &amp; diapers used'!L27:M27)</f>
        <v>5</v>
      </c>
      <c r="G29" s="13">
        <f>(E29*$B$1+F29*$B$3)*Parameters!$B$12</f>
        <v>3832.6129873247169</v>
      </c>
      <c r="H29" s="13">
        <f>'Ages of children &amp; diapers used'!N27*Parameters!$B$23</f>
        <v>120</v>
      </c>
      <c r="I29" s="13">
        <f>-Parameters!$B$32/Parameters!$B$33*D29*'Ages of children &amp; diapers used'!N27</f>
        <v>-30.906749999999992</v>
      </c>
      <c r="J29" s="13">
        <f>-Parameters!$B$31*Parameters!$B$14</f>
        <v>-400</v>
      </c>
      <c r="K29" s="13">
        <f>-Parameters!$B$28*Parameters!$B$27*Parameters!$B$12*Parameters!$B$13*D29</f>
        <v>-2967.0479999999993</v>
      </c>
      <c r="L29" s="29">
        <f t="shared" si="0"/>
        <v>554.65823732471745</v>
      </c>
      <c r="M29" s="29">
        <f>L29/((1+Parameters!$C$38)^('Projection_30 hours'!C29-1))</f>
        <v>534.00067329723061</v>
      </c>
      <c r="N29" s="21" t="str">
        <f t="shared" si="1"/>
        <v>OK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S29"/>
  <sheetViews>
    <sheetView workbookViewId="0">
      <selection activeCell="J6" sqref="J6"/>
    </sheetView>
  </sheetViews>
  <sheetFormatPr defaultRowHeight="15" x14ac:dyDescent="0.25"/>
  <cols>
    <col min="1" max="1" width="31.140625" customWidth="1"/>
    <col min="8" max="8" width="17.85546875" bestFit="1" customWidth="1"/>
    <col min="9" max="9" width="11.85546875" bestFit="1" customWidth="1"/>
    <col min="10" max="10" width="11.85546875" customWidth="1"/>
    <col min="13" max="15" width="12.42578125" customWidth="1"/>
  </cols>
  <sheetData>
    <row r="1" spans="1:19" ht="30" x14ac:dyDescent="0.25">
      <c r="A1" s="1" t="s">
        <v>21</v>
      </c>
      <c r="B1" s="5">
        <f>Parameters!B9</f>
        <v>53</v>
      </c>
      <c r="H1" t="s">
        <v>51</v>
      </c>
      <c r="I1" s="16">
        <v>14.779028211399863</v>
      </c>
    </row>
    <row r="2" spans="1:19" ht="30" x14ac:dyDescent="0.25">
      <c r="A2" s="1" t="s">
        <v>22</v>
      </c>
      <c r="B2">
        <f>Parameters!B13*Parameters!B15-Parameters!B21</f>
        <v>20</v>
      </c>
      <c r="C2" s="7"/>
      <c r="H2" t="s">
        <v>57</v>
      </c>
      <c r="I2">
        <f>Parameters!$B$49*Parameters!$B$14</f>
        <v>8</v>
      </c>
      <c r="K2" s="7"/>
      <c r="N2" s="1" t="s">
        <v>34</v>
      </c>
      <c r="O2" s="6">
        <f>SUM(O6:O29)</f>
        <v>94484.680000000109</v>
      </c>
    </row>
    <row r="3" spans="1:19" ht="30" x14ac:dyDescent="0.25">
      <c r="A3" s="1" t="s">
        <v>64</v>
      </c>
      <c r="B3" s="5">
        <f>Parameters!B10*B2/(Parameters!B13*Parameters!B15)</f>
        <v>20</v>
      </c>
      <c r="N3" t="s">
        <v>35</v>
      </c>
      <c r="O3" s="6">
        <f>'Projection_15 hours'!N2</f>
        <v>94484.681692082071</v>
      </c>
    </row>
    <row r="4" spans="1:19" x14ac:dyDescent="0.25">
      <c r="F4" s="7"/>
      <c r="N4" t="s">
        <v>36</v>
      </c>
      <c r="O4" s="14" t="str">
        <f>IF(ABS(O2-O3)&lt;0.1,"Goalseek OK","Re-run Goalseek")</f>
        <v>Goalseek OK</v>
      </c>
      <c r="P4" s="7"/>
    </row>
    <row r="5" spans="1:19" s="1" customFormat="1" ht="90" x14ac:dyDescent="0.25">
      <c r="A5" s="1" t="s">
        <v>19</v>
      </c>
      <c r="B5" s="1" t="s">
        <v>28</v>
      </c>
      <c r="C5" s="1" t="s">
        <v>32</v>
      </c>
      <c r="D5" s="1" t="s">
        <v>27</v>
      </c>
      <c r="E5" s="1" t="s">
        <v>48</v>
      </c>
      <c r="F5" s="1" t="s">
        <v>49</v>
      </c>
      <c r="G5" s="1" t="s">
        <v>24</v>
      </c>
      <c r="H5" s="1" t="s">
        <v>74</v>
      </c>
      <c r="I5" s="1" t="s">
        <v>75</v>
      </c>
      <c r="J5" s="1" t="s">
        <v>47</v>
      </c>
      <c r="K5" s="1" t="s">
        <v>76</v>
      </c>
      <c r="L5" s="1" t="s">
        <v>25</v>
      </c>
      <c r="M5" s="1" t="s">
        <v>26</v>
      </c>
      <c r="N5" s="1" t="s">
        <v>30</v>
      </c>
      <c r="O5" s="1" t="s">
        <v>89</v>
      </c>
    </row>
    <row r="6" spans="1:19" x14ac:dyDescent="0.25">
      <c r="A6" s="4">
        <v>43466</v>
      </c>
      <c r="B6" s="5">
        <v>1</v>
      </c>
      <c r="C6" s="10">
        <v>1</v>
      </c>
      <c r="D6" s="5">
        <v>1</v>
      </c>
      <c r="E6">
        <f>SUM('Ages of children &amp; diapers used'!I4:J4)</f>
        <v>4</v>
      </c>
      <c r="F6">
        <f>'Ages of children &amp; diapers used'!K4</f>
        <v>2</v>
      </c>
      <c r="G6">
        <f>SUM('Ages of children &amp; diapers used'!L4:M4)</f>
        <v>4</v>
      </c>
      <c r="H6" s="13">
        <f>(SUM(E6:F6)*$B$1+G6*$B$3)*Parameters!$B$12</f>
        <v>7960</v>
      </c>
      <c r="I6" s="13">
        <f>'Ages of children &amp; diapers used'!N4*Parameters!$B$23</f>
        <v>520</v>
      </c>
      <c r="J6" s="13">
        <f>SUMPRODUCT(E6:G6,Parameters!$B$47:$D$47)*'Additional activities'!$I$1*$I$2</f>
        <v>2246.4122881327794</v>
      </c>
      <c r="K6" s="13">
        <f>-Parameters!$B$32/Parameters!$B$33*D6*'Ages of children &amp; diapers used'!N4</f>
        <v>-130</v>
      </c>
      <c r="L6" s="13">
        <f>-Parameters!$B$31*Parameters!$B$14</f>
        <v>-400</v>
      </c>
      <c r="M6" s="18">
        <f>-Parameters!$B$28*Parameters!$B$27*Parameters!$B$12*Parameters!$B$13*D6</f>
        <v>-2880</v>
      </c>
      <c r="N6" s="29">
        <f>SUM(H6:M6)</f>
        <v>7316.4122881327785</v>
      </c>
      <c r="O6" s="29">
        <f>N6/((1+Parameters!$C$38)^('Additional activities'!C6-1))</f>
        <v>7316.4122881327785</v>
      </c>
      <c r="S6" s="3"/>
    </row>
    <row r="7" spans="1:19" x14ac:dyDescent="0.25">
      <c r="A7" s="4">
        <v>43497</v>
      </c>
      <c r="B7">
        <f>IF(YEAR(A7)=YEAR(A6),B6,B6+1)</f>
        <v>1</v>
      </c>
      <c r="C7">
        <f>C6+1</f>
        <v>2</v>
      </c>
      <c r="D7">
        <f>IF(MONTH(A7)=Parameters!$B$40,(1+Parameters!$B$39)^'Additional activities'!B7,'Additional activities'!D6)</f>
        <v>1</v>
      </c>
      <c r="E7">
        <f>SUM('Ages of children &amp; diapers used'!I5:J5)</f>
        <v>4</v>
      </c>
      <c r="F7">
        <f>'Ages of children &amp; diapers used'!K5</f>
        <v>2</v>
      </c>
      <c r="G7">
        <f>SUM('Ages of children &amp; diapers used'!L5:M5)</f>
        <v>4</v>
      </c>
      <c r="H7" s="13">
        <f>(SUM(E7:F7)*$B$1+G7*$B$3)*Parameters!$B$12</f>
        <v>7960</v>
      </c>
      <c r="I7" s="13">
        <f>'Ages of children &amp; diapers used'!N5*Parameters!$B$23</f>
        <v>520</v>
      </c>
      <c r="J7" s="13">
        <f>SUMPRODUCT(E7:G7,Parameters!$B$47:$D$47)*'Additional activities'!$I$1*$I$2</f>
        <v>2246.4122881327794</v>
      </c>
      <c r="K7" s="13">
        <f>-Parameters!$B$32/Parameters!$B$33*D7*'Ages of children &amp; diapers used'!N5</f>
        <v>-130</v>
      </c>
      <c r="L7" s="13">
        <f>-Parameters!$B$31*Parameters!$B$14</f>
        <v>-400</v>
      </c>
      <c r="M7" s="13">
        <f>-Parameters!$B$28*Parameters!$B$27*Parameters!$B$12*Parameters!$B$13*D7</f>
        <v>-2880</v>
      </c>
      <c r="N7" s="29">
        <f t="shared" ref="N7:N29" si="0">SUM(H7:M7)</f>
        <v>7316.4122881327785</v>
      </c>
      <c r="O7" s="29">
        <f>N7/((1+Parameters!$C$38)^('Additional activities'!C7-1))</f>
        <v>7304.3485626240408</v>
      </c>
    </row>
    <row r="8" spans="1:19" x14ac:dyDescent="0.25">
      <c r="A8" s="4">
        <v>43525</v>
      </c>
      <c r="B8">
        <f t="shared" ref="B8:B29" si="1">IF(YEAR(A8)=YEAR(A7),B7,B7+1)</f>
        <v>1</v>
      </c>
      <c r="C8">
        <f t="shared" ref="C8:C29" si="2">C7+1</f>
        <v>3</v>
      </c>
      <c r="D8">
        <f>IF(MONTH(A8)=Parameters!$B$40,(1+Parameters!$B$39)^'Additional activities'!B8,'Additional activities'!D7)</f>
        <v>1</v>
      </c>
      <c r="E8">
        <f>SUM('Ages of children &amp; diapers used'!I6:J6)</f>
        <v>4</v>
      </c>
      <c r="F8">
        <f>'Ages of children &amp; diapers used'!K6</f>
        <v>2</v>
      </c>
      <c r="G8">
        <f>SUM('Ages of children &amp; diapers used'!L6:M6)</f>
        <v>4</v>
      </c>
      <c r="H8" s="13">
        <f>(SUM(E8:F8)*$B$1+G8*$B$3)*Parameters!$B$12</f>
        <v>7960</v>
      </c>
      <c r="I8" s="13">
        <f>'Ages of children &amp; diapers used'!N6*Parameters!$B$23</f>
        <v>520</v>
      </c>
      <c r="J8" s="13">
        <f>SUMPRODUCT(E8:G8,Parameters!$B$47:$D$47)*'Additional activities'!$I$1*$I$2</f>
        <v>2246.4122881327794</v>
      </c>
      <c r="K8" s="13">
        <f>-Parameters!$B$32/Parameters!$B$33*D8*'Ages of children &amp; diapers used'!N6</f>
        <v>-130</v>
      </c>
      <c r="L8" s="13">
        <f>-Parameters!$B$31*Parameters!$B$14</f>
        <v>-400</v>
      </c>
      <c r="M8" s="13">
        <f>-Parameters!$B$28*Parameters!$B$27*Parameters!$B$12*Parameters!$B$13*D8</f>
        <v>-2880</v>
      </c>
      <c r="N8" s="29">
        <f t="shared" si="0"/>
        <v>7316.4122881327785</v>
      </c>
      <c r="O8" s="29">
        <f>N8/((1+Parameters!$C$38)^('Additional activities'!C8-1))</f>
        <v>7292.3047284865679</v>
      </c>
    </row>
    <row r="9" spans="1:19" x14ac:dyDescent="0.25">
      <c r="A9" s="4">
        <v>43556</v>
      </c>
      <c r="B9">
        <f t="shared" si="1"/>
        <v>1</v>
      </c>
      <c r="C9">
        <f t="shared" si="2"/>
        <v>4</v>
      </c>
      <c r="D9">
        <f>IF(MONTH(A9)=Parameters!$B$40,(1+Parameters!$B$39)^'Additional activities'!B9,'Additional activities'!D8)</f>
        <v>1.0149999999999999</v>
      </c>
      <c r="E9">
        <f>SUM('Ages of children &amp; diapers used'!I7:J7)</f>
        <v>4</v>
      </c>
      <c r="F9">
        <f>'Ages of children &amp; diapers used'!K7</f>
        <v>2</v>
      </c>
      <c r="G9">
        <f>SUM('Ages of children &amp; diapers used'!L7:M7)</f>
        <v>4</v>
      </c>
      <c r="H9" s="13">
        <f>(SUM(E9:F9)*$B$1+G9*$B$3)*Parameters!$B$12</f>
        <v>7960</v>
      </c>
      <c r="I9" s="13">
        <f>'Ages of children &amp; diapers used'!N7*Parameters!$B$23</f>
        <v>520</v>
      </c>
      <c r="J9" s="13">
        <f>SUMPRODUCT(E9:G9,Parameters!$B$47:$D$47)*'Additional activities'!$I$1*$I$2</f>
        <v>2246.4122881327794</v>
      </c>
      <c r="K9" s="13">
        <f>-Parameters!$B$32/Parameters!$B$33*D9*'Ages of children &amp; diapers used'!N7</f>
        <v>-131.94999999999999</v>
      </c>
      <c r="L9" s="13">
        <f>-Parameters!$B$31*Parameters!$B$14</f>
        <v>-400</v>
      </c>
      <c r="M9" s="13">
        <f>-Parameters!$B$28*Parameters!$B$27*Parameters!$B$12*Parameters!$B$13*D9</f>
        <v>-2923.2</v>
      </c>
      <c r="N9" s="29">
        <f t="shared" si="0"/>
        <v>7271.2622881327779</v>
      </c>
      <c r="O9" s="29">
        <f>N9/((1+Parameters!$C$38)^('Additional activities'!C9-1))</f>
        <v>7235.3537226990966</v>
      </c>
    </row>
    <row r="10" spans="1:19" x14ac:dyDescent="0.25">
      <c r="A10" s="4">
        <v>43586</v>
      </c>
      <c r="B10">
        <f t="shared" si="1"/>
        <v>1</v>
      </c>
      <c r="C10">
        <f t="shared" si="2"/>
        <v>5</v>
      </c>
      <c r="D10">
        <f>IF(MONTH(A10)=Parameters!$B$40,(1+Parameters!$B$39)^'Additional activities'!B10,'Additional activities'!D9)</f>
        <v>1.0149999999999999</v>
      </c>
      <c r="E10">
        <f>SUM('Ages of children &amp; diapers used'!I8:J8)</f>
        <v>4</v>
      </c>
      <c r="F10">
        <f>'Ages of children &amp; diapers used'!K8</f>
        <v>2</v>
      </c>
      <c r="G10">
        <f>SUM('Ages of children &amp; diapers used'!L8:M8)</f>
        <v>4</v>
      </c>
      <c r="H10" s="13">
        <f>(SUM(E10:F10)*$B$1+G10*$B$3)*Parameters!$B$12</f>
        <v>7960</v>
      </c>
      <c r="I10" s="13">
        <f>'Ages of children &amp; diapers used'!N8*Parameters!$B$23</f>
        <v>520</v>
      </c>
      <c r="J10" s="13">
        <f>SUMPRODUCT(E10:G10,Parameters!$B$47:$D$47)*'Additional activities'!$I$1*$I$2</f>
        <v>2246.4122881327794</v>
      </c>
      <c r="K10" s="13">
        <f>-Parameters!$B$32/Parameters!$B$33*D10*'Ages of children &amp; diapers used'!N8</f>
        <v>-131.94999999999999</v>
      </c>
      <c r="L10" s="13">
        <f>-Parameters!$B$31*Parameters!$B$14</f>
        <v>-400</v>
      </c>
      <c r="M10" s="13">
        <f>-Parameters!$B$28*Parameters!$B$27*Parameters!$B$12*Parameters!$B$13*D10</f>
        <v>-2923.2</v>
      </c>
      <c r="N10" s="29">
        <f t="shared" si="0"/>
        <v>7271.2622881327779</v>
      </c>
      <c r="O10" s="29">
        <f>N10/((1+Parameters!$C$38)^('Additional activities'!C10-1))</f>
        <v>7223.4236512608268</v>
      </c>
    </row>
    <row r="11" spans="1:19" x14ac:dyDescent="0.25">
      <c r="A11" s="4">
        <v>43617</v>
      </c>
      <c r="B11">
        <f t="shared" si="1"/>
        <v>1</v>
      </c>
      <c r="C11">
        <f t="shared" si="2"/>
        <v>6</v>
      </c>
      <c r="D11">
        <f>IF(MONTH(A11)=Parameters!$B$40,(1+Parameters!$B$39)^'Additional activities'!B11,'Additional activities'!D10)</f>
        <v>1.0149999999999999</v>
      </c>
      <c r="E11">
        <f>SUM('Ages of children &amp; diapers used'!I9:J9)</f>
        <v>1</v>
      </c>
      <c r="F11">
        <f>'Ages of children &amp; diapers used'!K9</f>
        <v>3</v>
      </c>
      <c r="G11">
        <f>SUM('Ages of children &amp; diapers used'!L9:M9)</f>
        <v>5</v>
      </c>
      <c r="H11" s="13">
        <f>(SUM(E11:F11)*$B$1+G11*$B$3)*Parameters!$B$12</f>
        <v>6240</v>
      </c>
      <c r="I11" s="13">
        <f>'Ages of children &amp; diapers used'!N9*Parameters!$B$23</f>
        <v>300</v>
      </c>
      <c r="J11" s="13">
        <f>SUMPRODUCT(E11:G11,Parameters!$B$47:$D$47)*'Additional activities'!$I$1*$I$2</f>
        <v>1477.9028211399864</v>
      </c>
      <c r="K11" s="13">
        <f>-Parameters!$B$32/Parameters!$B$33*D11*'Ages of children &amp; diapers used'!N9</f>
        <v>-76.124999999999986</v>
      </c>
      <c r="L11" s="13">
        <f>-Parameters!$B$31*Parameters!$B$14</f>
        <v>-400</v>
      </c>
      <c r="M11" s="13">
        <f>-Parameters!$B$28*Parameters!$B$27*Parameters!$B$12*Parameters!$B$13*D11</f>
        <v>-2923.2</v>
      </c>
      <c r="N11" s="29">
        <f t="shared" si="0"/>
        <v>4618.5778211399866</v>
      </c>
      <c r="O11" s="29">
        <f>N11/((1+Parameters!$C$38)^('Additional activities'!C11-1))</f>
        <v>4580.6262843029162</v>
      </c>
    </row>
    <row r="12" spans="1:19" x14ac:dyDescent="0.25">
      <c r="A12" s="4">
        <v>43647</v>
      </c>
      <c r="B12">
        <f t="shared" si="1"/>
        <v>1</v>
      </c>
      <c r="C12">
        <f t="shared" si="2"/>
        <v>7</v>
      </c>
      <c r="D12">
        <f>IF(MONTH(A12)=Parameters!$B$40,(1+Parameters!$B$39)^'Additional activities'!B12,'Additional activities'!D11)</f>
        <v>1.0149999999999999</v>
      </c>
      <c r="E12">
        <f>SUM('Ages of children &amp; diapers used'!I10:J10)</f>
        <v>1</v>
      </c>
      <c r="F12">
        <f>'Ages of children &amp; diapers used'!K10</f>
        <v>3</v>
      </c>
      <c r="G12">
        <f>SUM('Ages of children &amp; diapers used'!L10:M10)</f>
        <v>5</v>
      </c>
      <c r="H12" s="13">
        <f>(SUM(E12:F12)*$B$1+G12*$B$3)*Parameters!$B$12</f>
        <v>6240</v>
      </c>
      <c r="I12" s="13">
        <f>'Ages of children &amp; diapers used'!N10*Parameters!$B$23</f>
        <v>300</v>
      </c>
      <c r="J12" s="13">
        <f>SUMPRODUCT(E12:G12,Parameters!$B$47:$D$47)*'Additional activities'!$I$1*$I$2</f>
        <v>1477.9028211399864</v>
      </c>
      <c r="K12" s="13">
        <f>-Parameters!$B$32/Parameters!$B$33*D12*'Ages of children &amp; diapers used'!N10</f>
        <v>-76.124999999999986</v>
      </c>
      <c r="L12" s="13">
        <f>-Parameters!$B$31*Parameters!$B$14</f>
        <v>-400</v>
      </c>
      <c r="M12" s="13">
        <f>-Parameters!$B$28*Parameters!$B$27*Parameters!$B$12*Parameters!$B$13*D12</f>
        <v>-2923.2</v>
      </c>
      <c r="N12" s="29">
        <f t="shared" si="0"/>
        <v>4618.5778211399866</v>
      </c>
      <c r="O12" s="29">
        <f>N12/((1+Parameters!$C$38)^('Additional activities'!C12-1))</f>
        <v>4573.0734816483191</v>
      </c>
    </row>
    <row r="13" spans="1:19" x14ac:dyDescent="0.25">
      <c r="A13" s="4">
        <v>43678</v>
      </c>
      <c r="B13">
        <f t="shared" si="1"/>
        <v>1</v>
      </c>
      <c r="C13">
        <f t="shared" si="2"/>
        <v>8</v>
      </c>
      <c r="D13">
        <f>IF(MONTH(A13)=Parameters!$B$40,(1+Parameters!$B$39)^'Additional activities'!B13,'Additional activities'!D12)</f>
        <v>1.0149999999999999</v>
      </c>
      <c r="E13">
        <f>SUM('Ages of children &amp; diapers used'!I11:J11)</f>
        <v>1</v>
      </c>
      <c r="F13">
        <f>'Ages of children &amp; diapers used'!K11</f>
        <v>3</v>
      </c>
      <c r="G13">
        <f>SUM('Ages of children &amp; diapers used'!L11:M11)</f>
        <v>5</v>
      </c>
      <c r="H13" s="13">
        <f>(SUM(E13:F13)*$B$1+G13*$B$3)*Parameters!$B$12</f>
        <v>6240</v>
      </c>
      <c r="I13" s="13">
        <f>'Ages of children &amp; diapers used'!N11*Parameters!$B$23</f>
        <v>300</v>
      </c>
      <c r="J13" s="13">
        <f>SUMPRODUCT(E13:G13,Parameters!$B$47:$D$47)*'Additional activities'!$I$1*$I$2</f>
        <v>1477.9028211399864</v>
      </c>
      <c r="K13" s="13">
        <f>-Parameters!$B$32/Parameters!$B$33*D13*'Ages of children &amp; diapers used'!N11</f>
        <v>-76.124999999999986</v>
      </c>
      <c r="L13" s="13">
        <f>-Parameters!$B$31*Parameters!$B$14</f>
        <v>-400</v>
      </c>
      <c r="M13" s="13">
        <f>-Parameters!$B$28*Parameters!$B$27*Parameters!$B$12*Parameters!$B$13*D13</f>
        <v>-2923.2</v>
      </c>
      <c r="N13" s="29">
        <f t="shared" si="0"/>
        <v>4618.5778211399866</v>
      </c>
      <c r="O13" s="29">
        <f>N13/((1+Parameters!$C$38)^('Additional activities'!C13-1))</f>
        <v>4565.5331324933959</v>
      </c>
    </row>
    <row r="14" spans="1:19" x14ac:dyDescent="0.25">
      <c r="A14" s="4">
        <v>43709</v>
      </c>
      <c r="B14">
        <f t="shared" si="1"/>
        <v>1</v>
      </c>
      <c r="C14">
        <f t="shared" si="2"/>
        <v>9</v>
      </c>
      <c r="D14">
        <f>IF(MONTH(A14)=Parameters!$B$40,(1+Parameters!$B$39)^'Additional activities'!B14,'Additional activities'!D13)</f>
        <v>1.0149999999999999</v>
      </c>
      <c r="E14">
        <f>SUM('Ages of children &amp; diapers used'!I12:J12)</f>
        <v>1</v>
      </c>
      <c r="F14">
        <f>'Ages of children &amp; diapers used'!K12</f>
        <v>3</v>
      </c>
      <c r="G14">
        <f>SUM('Ages of children &amp; diapers used'!L12:M12)</f>
        <v>5</v>
      </c>
      <c r="H14" s="13">
        <f>(SUM(E14:F14)*$B$1+G14*$B$3)*Parameters!$B$12</f>
        <v>6240</v>
      </c>
      <c r="I14" s="13">
        <f>'Ages of children &amp; diapers used'!N12*Parameters!$B$23</f>
        <v>300</v>
      </c>
      <c r="J14" s="13">
        <f>SUMPRODUCT(E14:G14,Parameters!$B$47:$D$47)*'Additional activities'!$I$1*$I$2</f>
        <v>1477.9028211399864</v>
      </c>
      <c r="K14" s="13">
        <f>-Parameters!$B$32/Parameters!$B$33*D14*'Ages of children &amp; diapers used'!N12</f>
        <v>-76.124999999999986</v>
      </c>
      <c r="L14" s="13">
        <f>-Parameters!$B$31*Parameters!$B$14</f>
        <v>-400</v>
      </c>
      <c r="M14" s="13">
        <f>-Parameters!$B$28*Parameters!$B$27*Parameters!$B$12*Parameters!$B$13*D14</f>
        <v>-2923.2</v>
      </c>
      <c r="N14" s="29">
        <f t="shared" si="0"/>
        <v>4618.5778211399866</v>
      </c>
      <c r="O14" s="29">
        <f>N14/((1+Parameters!$C$38)^('Additional activities'!C14-1))</f>
        <v>4558.0052163040928</v>
      </c>
    </row>
    <row r="15" spans="1:19" x14ac:dyDescent="0.25">
      <c r="A15" s="4">
        <v>43739</v>
      </c>
      <c r="B15">
        <f t="shared" si="1"/>
        <v>1</v>
      </c>
      <c r="C15">
        <f t="shared" si="2"/>
        <v>10</v>
      </c>
      <c r="D15">
        <f>IF(MONTH(A15)=Parameters!$B$40,(1+Parameters!$B$39)^'Additional activities'!B15,'Additional activities'!D14)</f>
        <v>1.0149999999999999</v>
      </c>
      <c r="E15">
        <f>SUM('Ages of children &amp; diapers used'!I13:J13)</f>
        <v>1</v>
      </c>
      <c r="F15">
        <f>'Ages of children &amp; diapers used'!K13</f>
        <v>3</v>
      </c>
      <c r="G15">
        <f>SUM('Ages of children &amp; diapers used'!L13:M13)</f>
        <v>5</v>
      </c>
      <c r="H15" s="13">
        <f>(SUM(E15:F15)*$B$1+G15*$B$3)*Parameters!$B$12</f>
        <v>6240</v>
      </c>
      <c r="I15" s="13">
        <f>'Ages of children &amp; diapers used'!N13*Parameters!$B$23</f>
        <v>300</v>
      </c>
      <c r="J15" s="13">
        <f>SUMPRODUCT(E15:G15,Parameters!$B$47:$D$47)*'Additional activities'!$I$1*$I$2</f>
        <v>1477.9028211399864</v>
      </c>
      <c r="K15" s="13">
        <f>-Parameters!$B$32/Parameters!$B$33*D15*'Ages of children &amp; diapers used'!N13</f>
        <v>-76.124999999999986</v>
      </c>
      <c r="L15" s="13">
        <f>-Parameters!$B$31*Parameters!$B$14</f>
        <v>-400</v>
      </c>
      <c r="M15" s="13">
        <f>-Parameters!$B$28*Parameters!$B$27*Parameters!$B$12*Parameters!$B$13*D15</f>
        <v>-2923.2</v>
      </c>
      <c r="N15" s="29">
        <f t="shared" si="0"/>
        <v>4618.5778211399866</v>
      </c>
      <c r="O15" s="29">
        <f>N15/((1+Parameters!$C$38)^('Additional activities'!C15-1))</f>
        <v>4550.4897125802154</v>
      </c>
    </row>
    <row r="16" spans="1:19" x14ac:dyDescent="0.25">
      <c r="A16" s="4">
        <v>43770</v>
      </c>
      <c r="B16">
        <f t="shared" si="1"/>
        <v>1</v>
      </c>
      <c r="C16">
        <f t="shared" si="2"/>
        <v>11</v>
      </c>
      <c r="D16">
        <f>IF(MONTH(A16)=Parameters!$B$40,(1+Parameters!$B$39)^'Additional activities'!B16,'Additional activities'!D15)</f>
        <v>1.0149999999999999</v>
      </c>
      <c r="E16">
        <f>SUM('Ages of children &amp; diapers used'!I14:J14)</f>
        <v>1</v>
      </c>
      <c r="F16">
        <f>'Ages of children &amp; diapers used'!K14</f>
        <v>3</v>
      </c>
      <c r="G16">
        <f>SUM('Ages of children &amp; diapers used'!L14:M14)</f>
        <v>5</v>
      </c>
      <c r="H16" s="13">
        <f>(SUM(E16:F16)*$B$1+G16*$B$3)*Parameters!$B$12</f>
        <v>6240</v>
      </c>
      <c r="I16" s="13">
        <f>'Ages of children &amp; diapers used'!N14*Parameters!$B$23</f>
        <v>300</v>
      </c>
      <c r="J16" s="13">
        <f>SUMPRODUCT(E16:G16,Parameters!$B$47:$D$47)*'Additional activities'!$I$1*$I$2</f>
        <v>1477.9028211399864</v>
      </c>
      <c r="K16" s="13">
        <f>-Parameters!$B$32/Parameters!$B$33*D16*'Ages of children &amp; diapers used'!N14</f>
        <v>-76.124999999999986</v>
      </c>
      <c r="L16" s="13">
        <f>-Parameters!$B$31*Parameters!$B$14</f>
        <v>-400</v>
      </c>
      <c r="M16" s="13">
        <f>-Parameters!$B$28*Parameters!$B$27*Parameters!$B$12*Parameters!$B$13*D16</f>
        <v>-2923.2</v>
      </c>
      <c r="N16" s="29">
        <f t="shared" si="0"/>
        <v>4618.5778211399866</v>
      </c>
      <c r="O16" s="29">
        <f>N16/((1+Parameters!$C$38)^('Additional activities'!C16-1))</f>
        <v>4542.986600855369</v>
      </c>
    </row>
    <row r="17" spans="1:15" x14ac:dyDescent="0.25">
      <c r="A17" s="4">
        <v>43800</v>
      </c>
      <c r="B17">
        <f t="shared" si="1"/>
        <v>1</v>
      </c>
      <c r="C17">
        <f t="shared" si="2"/>
        <v>12</v>
      </c>
      <c r="D17">
        <f>IF(MONTH(A17)=Parameters!$B$40,(1+Parameters!$B$39)^'Additional activities'!B17,'Additional activities'!D16)</f>
        <v>1.0149999999999999</v>
      </c>
      <c r="E17">
        <f>SUM('Ages of children &amp; diapers used'!I15:J15)</f>
        <v>1</v>
      </c>
      <c r="F17">
        <f>'Ages of children &amp; diapers used'!K15</f>
        <v>3</v>
      </c>
      <c r="G17">
        <f>SUM('Ages of children &amp; diapers used'!L15:M15)</f>
        <v>5</v>
      </c>
      <c r="H17" s="13">
        <f>(SUM(E17:F17)*$B$1+G17*$B$3)*Parameters!$B$12</f>
        <v>6240</v>
      </c>
      <c r="I17" s="13">
        <f>'Ages of children &amp; diapers used'!N15*Parameters!$B$23</f>
        <v>300</v>
      </c>
      <c r="J17" s="13">
        <f>SUMPRODUCT(E17:G17,Parameters!$B$47:$D$47)*'Additional activities'!$I$1*$I$2</f>
        <v>1477.9028211399864</v>
      </c>
      <c r="K17" s="13">
        <f>-Parameters!$B$32/Parameters!$B$33*D17*'Ages of children &amp; diapers used'!N15</f>
        <v>-76.124999999999986</v>
      </c>
      <c r="L17" s="13">
        <f>-Parameters!$B$31*Parameters!$B$14</f>
        <v>-400</v>
      </c>
      <c r="M17" s="13">
        <f>-Parameters!$B$28*Parameters!$B$27*Parameters!$B$12*Parameters!$B$13*D17</f>
        <v>-2923.2</v>
      </c>
      <c r="N17" s="29">
        <f t="shared" si="0"/>
        <v>4618.5778211399866</v>
      </c>
      <c r="O17" s="29">
        <f>N17/((1+Parameters!$C$38)^('Additional activities'!C17-1))</f>
        <v>4535.4958606969049</v>
      </c>
    </row>
    <row r="18" spans="1:15" x14ac:dyDescent="0.25">
      <c r="A18" s="4">
        <v>43831</v>
      </c>
      <c r="B18">
        <f t="shared" si="1"/>
        <v>2</v>
      </c>
      <c r="C18">
        <f t="shared" si="2"/>
        <v>13</v>
      </c>
      <c r="D18">
        <f>IF(MONTH(A18)=Parameters!$B$40,(1+Parameters!$B$39)^'Additional activities'!B18,'Additional activities'!D17)</f>
        <v>1.0149999999999999</v>
      </c>
      <c r="E18">
        <f>SUM('Ages of children &amp; diapers used'!I16:J16)</f>
        <v>1</v>
      </c>
      <c r="F18">
        <f>'Ages of children &amp; diapers used'!K16</f>
        <v>3</v>
      </c>
      <c r="G18">
        <f>SUM('Ages of children &amp; diapers used'!L16:M16)</f>
        <v>5</v>
      </c>
      <c r="H18" s="13">
        <f>(SUM(E18:F18)*$B$1+G18*$B$3)*Parameters!$B$12</f>
        <v>6240</v>
      </c>
      <c r="I18" s="13">
        <f>'Ages of children &amp; diapers used'!N16*Parameters!$B$23</f>
        <v>300</v>
      </c>
      <c r="J18" s="13">
        <f>SUMPRODUCT(E18:G18,Parameters!$B$47:$D$47)*'Additional activities'!$I$1*$I$2</f>
        <v>1477.9028211399864</v>
      </c>
      <c r="K18" s="13">
        <f>-Parameters!$B$32/Parameters!$B$33*D18*'Ages of children &amp; diapers used'!N16</f>
        <v>-76.124999999999986</v>
      </c>
      <c r="L18" s="13">
        <f>-Parameters!$B$31*Parameters!$B$14</f>
        <v>-400</v>
      </c>
      <c r="M18" s="13">
        <f>-Parameters!$B$28*Parameters!$B$27*Parameters!$B$12*Parameters!$B$13*D18</f>
        <v>-2923.2</v>
      </c>
      <c r="N18" s="29">
        <f t="shared" si="0"/>
        <v>4618.5778211399866</v>
      </c>
      <c r="O18" s="29">
        <f>N18/((1+Parameters!$C$38)^('Additional activities'!C18-1))</f>
        <v>4528.0174717058671</v>
      </c>
    </row>
    <row r="19" spans="1:15" x14ac:dyDescent="0.25">
      <c r="A19" s="4">
        <v>43862</v>
      </c>
      <c r="B19">
        <f t="shared" si="1"/>
        <v>2</v>
      </c>
      <c r="C19">
        <f t="shared" si="2"/>
        <v>14</v>
      </c>
      <c r="D19">
        <f>IF(MONTH(A19)=Parameters!$B$40,(1+Parameters!$B$39)^'Additional activities'!B19,'Additional activities'!D18)</f>
        <v>1.0149999999999999</v>
      </c>
      <c r="E19">
        <f>SUM('Ages of children &amp; diapers used'!I17:J17)</f>
        <v>1</v>
      </c>
      <c r="F19">
        <f>'Ages of children &amp; diapers used'!K17</f>
        <v>3</v>
      </c>
      <c r="G19">
        <f>SUM('Ages of children &amp; diapers used'!L17:M17)</f>
        <v>5</v>
      </c>
      <c r="H19" s="13">
        <f>(SUM(E19:F19)*$B$1+G19*$B$3)*Parameters!$B$12</f>
        <v>6240</v>
      </c>
      <c r="I19" s="13">
        <f>'Ages of children &amp; diapers used'!N17*Parameters!$B$23</f>
        <v>300</v>
      </c>
      <c r="J19" s="13">
        <f>SUMPRODUCT(E19:G19,Parameters!$B$47:$D$47)*'Additional activities'!$I$1*$I$2</f>
        <v>1477.9028211399864</v>
      </c>
      <c r="K19" s="13">
        <f>-Parameters!$B$32/Parameters!$B$33*D19*'Ages of children &amp; diapers used'!N17</f>
        <v>-76.124999999999986</v>
      </c>
      <c r="L19" s="13">
        <f>-Parameters!$B$31*Parameters!$B$14</f>
        <v>-400</v>
      </c>
      <c r="M19" s="13">
        <f>-Parameters!$B$28*Parameters!$B$27*Parameters!$B$12*Parameters!$B$13*D19</f>
        <v>-2923.2</v>
      </c>
      <c r="N19" s="29">
        <f t="shared" si="0"/>
        <v>4618.5778211399866</v>
      </c>
      <c r="O19" s="29">
        <f>N19/((1+Parameters!$C$38)^('Additional activities'!C19-1))</f>
        <v>4520.5514135169333</v>
      </c>
    </row>
    <row r="20" spans="1:15" x14ac:dyDescent="0.25">
      <c r="A20" s="4">
        <v>43891</v>
      </c>
      <c r="B20">
        <f t="shared" si="1"/>
        <v>2</v>
      </c>
      <c r="C20">
        <f t="shared" si="2"/>
        <v>15</v>
      </c>
      <c r="D20">
        <f>IF(MONTH(A20)=Parameters!$B$40,(1+Parameters!$B$39)^'Additional activities'!B20,'Additional activities'!D19)</f>
        <v>1.0149999999999999</v>
      </c>
      <c r="E20">
        <f>SUM('Ages of children &amp; diapers used'!I18:J18)</f>
        <v>1</v>
      </c>
      <c r="F20">
        <f>'Ages of children &amp; diapers used'!K18</f>
        <v>3</v>
      </c>
      <c r="G20">
        <f>SUM('Ages of children &amp; diapers used'!L18:M18)</f>
        <v>5</v>
      </c>
      <c r="H20" s="13">
        <f>(SUM(E20:F20)*$B$1+G20*$B$3)*Parameters!$B$12</f>
        <v>6240</v>
      </c>
      <c r="I20" s="13">
        <f>'Ages of children &amp; diapers used'!N18*Parameters!$B$23</f>
        <v>300</v>
      </c>
      <c r="J20" s="13">
        <f>SUMPRODUCT(E20:G20,Parameters!$B$47:$D$47)*'Additional activities'!$I$1*$I$2</f>
        <v>1477.9028211399864</v>
      </c>
      <c r="K20" s="13">
        <f>-Parameters!$B$32/Parameters!$B$33*D20*'Ages of children &amp; diapers used'!N18</f>
        <v>-76.124999999999986</v>
      </c>
      <c r="L20" s="13">
        <f>-Parameters!$B$31*Parameters!$B$14</f>
        <v>-400</v>
      </c>
      <c r="M20" s="13">
        <f>-Parameters!$B$28*Parameters!$B$27*Parameters!$B$12*Parameters!$B$13*D20</f>
        <v>-2923.2</v>
      </c>
      <c r="N20" s="29">
        <f t="shared" si="0"/>
        <v>4618.5778211399866</v>
      </c>
      <c r="O20" s="29">
        <f>N20/((1+Parameters!$C$38)^('Additional activities'!C20-1))</f>
        <v>4513.0976657983629</v>
      </c>
    </row>
    <row r="21" spans="1:15" x14ac:dyDescent="0.25">
      <c r="A21" s="4">
        <v>43922</v>
      </c>
      <c r="B21">
        <f t="shared" si="1"/>
        <v>2</v>
      </c>
      <c r="C21">
        <f t="shared" si="2"/>
        <v>16</v>
      </c>
      <c r="D21">
        <f>IF(MONTH(A21)=Parameters!$B$40,(1+Parameters!$B$39)^'Additional activities'!B21,'Additional activities'!D20)</f>
        <v>1.0302249999999997</v>
      </c>
      <c r="E21">
        <f>SUM('Ages of children &amp; diapers used'!I19:J19)</f>
        <v>1</v>
      </c>
      <c r="F21">
        <f>'Ages of children &amp; diapers used'!K19</f>
        <v>3</v>
      </c>
      <c r="G21">
        <f>SUM('Ages of children &amp; diapers used'!L19:M19)</f>
        <v>5</v>
      </c>
      <c r="H21" s="13">
        <f>(SUM(E21:F21)*$B$1+G21*$B$3)*Parameters!$B$12</f>
        <v>6240</v>
      </c>
      <c r="I21" s="13">
        <f>'Ages of children &amp; diapers used'!N19*Parameters!$B$23</f>
        <v>300</v>
      </c>
      <c r="J21" s="13">
        <f>SUMPRODUCT(E21:G21,Parameters!$B$47:$D$47)*'Additional activities'!$I$1*$I$2</f>
        <v>1477.9028211399864</v>
      </c>
      <c r="K21" s="13">
        <f>-Parameters!$B$32/Parameters!$B$33*D21*'Ages of children &amp; diapers used'!N19</f>
        <v>-77.266874999999985</v>
      </c>
      <c r="L21" s="13">
        <f>-Parameters!$B$31*Parameters!$B$14</f>
        <v>-400</v>
      </c>
      <c r="M21" s="13">
        <f>-Parameters!$B$28*Parameters!$B$27*Parameters!$B$12*Parameters!$B$13*D21</f>
        <v>-2967.0479999999993</v>
      </c>
      <c r="N21" s="29">
        <f t="shared" si="0"/>
        <v>4573.5879461399873</v>
      </c>
      <c r="O21" s="29">
        <f>N21/((1+Parameters!$C$38)^('Additional activities'!C21-1))</f>
        <v>4461.7663102243641</v>
      </c>
    </row>
    <row r="22" spans="1:15" x14ac:dyDescent="0.25">
      <c r="A22" s="4">
        <v>43952</v>
      </c>
      <c r="B22">
        <f t="shared" si="1"/>
        <v>2</v>
      </c>
      <c r="C22">
        <f t="shared" si="2"/>
        <v>17</v>
      </c>
      <c r="D22">
        <f>IF(MONTH(A22)=Parameters!$B$40,(1+Parameters!$B$39)^'Additional activities'!B22,'Additional activities'!D21)</f>
        <v>1.0302249999999997</v>
      </c>
      <c r="E22">
        <f>SUM('Ages of children &amp; diapers used'!I20:J20)</f>
        <v>1</v>
      </c>
      <c r="F22">
        <f>'Ages of children &amp; diapers used'!K20</f>
        <v>3</v>
      </c>
      <c r="G22">
        <f>SUM('Ages of children &amp; diapers used'!L20:M20)</f>
        <v>5</v>
      </c>
      <c r="H22" s="13">
        <f>(SUM(E22:F22)*$B$1+G22*$B$3)*Parameters!$B$12</f>
        <v>6240</v>
      </c>
      <c r="I22" s="13">
        <f>'Ages of children &amp; diapers used'!N20*Parameters!$B$23</f>
        <v>300</v>
      </c>
      <c r="J22" s="13">
        <f>SUMPRODUCT(E22:G22,Parameters!$B$47:$D$47)*'Additional activities'!$I$1*$I$2</f>
        <v>1477.9028211399864</v>
      </c>
      <c r="K22" s="13">
        <f>-Parameters!$B$32/Parameters!$B$33*D22*'Ages of children &amp; diapers used'!N20</f>
        <v>-77.266874999999985</v>
      </c>
      <c r="L22" s="13">
        <f>-Parameters!$B$31*Parameters!$B$14</f>
        <v>-400</v>
      </c>
      <c r="M22" s="13">
        <f>-Parameters!$B$28*Parameters!$B$27*Parameters!$B$12*Parameters!$B$13*D22</f>
        <v>-2967.0479999999993</v>
      </c>
      <c r="N22" s="29">
        <f t="shared" si="0"/>
        <v>4573.5879461399873</v>
      </c>
      <c r="O22" s="29">
        <f>N22/((1+Parameters!$C$38)^('Additional activities'!C22-1))</f>
        <v>4454.4094907982653</v>
      </c>
    </row>
    <row r="23" spans="1:15" x14ac:dyDescent="0.25">
      <c r="A23" s="4">
        <v>43983</v>
      </c>
      <c r="B23">
        <f t="shared" si="1"/>
        <v>2</v>
      </c>
      <c r="C23">
        <f t="shared" si="2"/>
        <v>18</v>
      </c>
      <c r="D23">
        <f>IF(MONTH(A23)=Parameters!$B$40,(1+Parameters!$B$39)^'Additional activities'!B23,'Additional activities'!D22)</f>
        <v>1.0302249999999997</v>
      </c>
      <c r="E23">
        <f>SUM('Ages of children &amp; diapers used'!I21:J21)</f>
        <v>0</v>
      </c>
      <c r="F23">
        <f>'Ages of children &amp; diapers used'!K21</f>
        <v>1</v>
      </c>
      <c r="G23">
        <f>SUM('Ages of children &amp; diapers used'!L21:M21)</f>
        <v>5</v>
      </c>
      <c r="H23" s="13">
        <f>(SUM(E23:F23)*$B$1+G23*$B$3)*Parameters!$B$12</f>
        <v>3060</v>
      </c>
      <c r="I23" s="13">
        <f>'Ages of children &amp; diapers used'!N21*Parameters!$B$23</f>
        <v>120</v>
      </c>
      <c r="J23" s="13">
        <f>SUMPRODUCT(E23:G23,Parameters!$B$47:$D$47)*'Additional activities'!$I$1*$I$2</f>
        <v>768.50946699279291</v>
      </c>
      <c r="K23" s="13">
        <f>-Parameters!$B$32/Parameters!$B$33*D23*'Ages of children &amp; diapers used'!N21</f>
        <v>-30.906749999999992</v>
      </c>
      <c r="L23" s="13">
        <f>-Parameters!$B$31*Parameters!$B$14</f>
        <v>-400</v>
      </c>
      <c r="M23" s="13">
        <f>-Parameters!$B$28*Parameters!$B$27*Parameters!$B$12*Parameters!$B$13*D23</f>
        <v>-2967.0479999999993</v>
      </c>
      <c r="N23" s="29">
        <f t="shared" si="0"/>
        <v>550.5547169927936</v>
      </c>
      <c r="O23" s="29">
        <f>N23/((1+Parameters!$C$38)^('Additional activities'!C23-1))</f>
        <v>535.32424262831762</v>
      </c>
    </row>
    <row r="24" spans="1:15" x14ac:dyDescent="0.25">
      <c r="A24" s="4">
        <v>44013</v>
      </c>
      <c r="B24">
        <f t="shared" si="1"/>
        <v>2</v>
      </c>
      <c r="C24">
        <f t="shared" si="2"/>
        <v>19</v>
      </c>
      <c r="D24">
        <f>IF(MONTH(A24)=Parameters!$B$40,(1+Parameters!$B$39)^'Additional activities'!B24,'Additional activities'!D23)</f>
        <v>1.0302249999999997</v>
      </c>
      <c r="E24">
        <f>SUM('Ages of children &amp; diapers used'!I22:J22)</f>
        <v>0</v>
      </c>
      <c r="F24">
        <f>'Ages of children &amp; diapers used'!K22</f>
        <v>1</v>
      </c>
      <c r="G24">
        <f>SUM('Ages of children &amp; diapers used'!L22:M22)</f>
        <v>5</v>
      </c>
      <c r="H24" s="13">
        <f>(SUM(E24:F24)*$B$1+G24*$B$3)*Parameters!$B$12</f>
        <v>3060</v>
      </c>
      <c r="I24" s="13">
        <f>'Ages of children &amp; diapers used'!N22*Parameters!$B$23</f>
        <v>120</v>
      </c>
      <c r="J24" s="13">
        <f>SUMPRODUCT(E24:G24,Parameters!$B$47:$D$47)*'Additional activities'!$I$1*$I$2</f>
        <v>768.50946699279291</v>
      </c>
      <c r="K24" s="13">
        <f>-Parameters!$B$32/Parameters!$B$33*D24*'Ages of children &amp; diapers used'!N22</f>
        <v>-30.906749999999992</v>
      </c>
      <c r="L24" s="13">
        <f>-Parameters!$B$31*Parameters!$B$14</f>
        <v>-400</v>
      </c>
      <c r="M24" s="13">
        <f>-Parameters!$B$28*Parameters!$B$27*Parameters!$B$12*Parameters!$B$13*D24</f>
        <v>-2967.0479999999993</v>
      </c>
      <c r="N24" s="29">
        <f t="shared" si="0"/>
        <v>550.5547169927936</v>
      </c>
      <c r="O24" s="29">
        <f>N24/((1+Parameters!$C$38)^('Additional activities'!C24-1))</f>
        <v>534.44156892611034</v>
      </c>
    </row>
    <row r="25" spans="1:15" x14ac:dyDescent="0.25">
      <c r="A25" s="4">
        <v>44044</v>
      </c>
      <c r="B25">
        <f t="shared" si="1"/>
        <v>2</v>
      </c>
      <c r="C25">
        <f t="shared" si="2"/>
        <v>20</v>
      </c>
      <c r="D25">
        <f>IF(MONTH(A25)=Parameters!$B$40,(1+Parameters!$B$39)^'Additional activities'!B25,'Additional activities'!D24)</f>
        <v>1.0302249999999997</v>
      </c>
      <c r="E25">
        <f>SUM('Ages of children &amp; diapers used'!I23:J23)</f>
        <v>0</v>
      </c>
      <c r="F25">
        <f>'Ages of children &amp; diapers used'!K23</f>
        <v>1</v>
      </c>
      <c r="G25">
        <f>SUM('Ages of children &amp; diapers used'!L23:M23)</f>
        <v>5</v>
      </c>
      <c r="H25" s="13">
        <f>(SUM(E25:F25)*$B$1+G25*$B$3)*Parameters!$B$12</f>
        <v>3060</v>
      </c>
      <c r="I25" s="13">
        <f>'Ages of children &amp; diapers used'!N23*Parameters!$B$23</f>
        <v>120</v>
      </c>
      <c r="J25" s="13">
        <f>SUMPRODUCT(E25:G25,Parameters!$B$47:$D$47)*'Additional activities'!$I$1*$I$2</f>
        <v>768.50946699279291</v>
      </c>
      <c r="K25" s="13">
        <f>-Parameters!$B$32/Parameters!$B$33*D25*'Ages of children &amp; diapers used'!N23</f>
        <v>-30.906749999999992</v>
      </c>
      <c r="L25" s="13">
        <f>-Parameters!$B$31*Parameters!$B$14</f>
        <v>-400</v>
      </c>
      <c r="M25" s="13">
        <f>-Parameters!$B$28*Parameters!$B$27*Parameters!$B$12*Parameters!$B$13*D25</f>
        <v>-2967.0479999999993</v>
      </c>
      <c r="N25" s="29">
        <f t="shared" si="0"/>
        <v>550.5547169927936</v>
      </c>
      <c r="O25" s="29">
        <f>N25/((1+Parameters!$C$38)^('Additional activities'!C25-1))</f>
        <v>533.56035062756791</v>
      </c>
    </row>
    <row r="26" spans="1:15" x14ac:dyDescent="0.25">
      <c r="A26" s="4">
        <v>44075</v>
      </c>
      <c r="B26">
        <f t="shared" si="1"/>
        <v>2</v>
      </c>
      <c r="C26">
        <f t="shared" si="2"/>
        <v>21</v>
      </c>
      <c r="D26">
        <f>IF(MONTH(A26)=Parameters!$B$40,(1+Parameters!$B$39)^'Additional activities'!B26,'Additional activities'!D25)</f>
        <v>1.0302249999999997</v>
      </c>
      <c r="E26">
        <f>SUM('Ages of children &amp; diapers used'!I24:J24)</f>
        <v>0</v>
      </c>
      <c r="F26">
        <f>'Ages of children &amp; diapers used'!K24</f>
        <v>1</v>
      </c>
      <c r="G26">
        <f>SUM('Ages of children &amp; diapers used'!L24:M24)</f>
        <v>5</v>
      </c>
      <c r="H26" s="13">
        <f>(SUM(E26:F26)*$B$1+G26*$B$3)*Parameters!$B$12</f>
        <v>3060</v>
      </c>
      <c r="I26" s="13">
        <f>'Ages of children &amp; diapers used'!N24*Parameters!$B$23</f>
        <v>120</v>
      </c>
      <c r="J26" s="13">
        <f>SUMPRODUCT(E26:G26,Parameters!$B$47:$D$47)*'Additional activities'!$I$1*$I$2</f>
        <v>768.50946699279291</v>
      </c>
      <c r="K26" s="13">
        <f>-Parameters!$B$32/Parameters!$B$33*D26*'Ages of children &amp; diapers used'!N24</f>
        <v>-30.906749999999992</v>
      </c>
      <c r="L26" s="13">
        <f>-Parameters!$B$31*Parameters!$B$14</f>
        <v>-400</v>
      </c>
      <c r="M26" s="13">
        <f>-Parameters!$B$28*Parameters!$B$27*Parameters!$B$12*Parameters!$B$13*D26</f>
        <v>-2967.0479999999993</v>
      </c>
      <c r="N26" s="29">
        <f t="shared" si="0"/>
        <v>550.5547169927936</v>
      </c>
      <c r="O26" s="29">
        <f>N26/((1+Parameters!$C$38)^('Additional activities'!C26-1))</f>
        <v>532.68058533293606</v>
      </c>
    </row>
    <row r="27" spans="1:15" x14ac:dyDescent="0.25">
      <c r="A27" s="4">
        <v>44105</v>
      </c>
      <c r="B27">
        <f t="shared" si="1"/>
        <v>2</v>
      </c>
      <c r="C27">
        <f t="shared" si="2"/>
        <v>22</v>
      </c>
      <c r="D27">
        <f>IF(MONTH(A27)=Parameters!$B$40,(1+Parameters!$B$39)^'Additional activities'!B27,'Additional activities'!D26)</f>
        <v>1.0302249999999997</v>
      </c>
      <c r="E27">
        <f>SUM('Ages of children &amp; diapers used'!I25:J25)</f>
        <v>0</v>
      </c>
      <c r="F27">
        <f>'Ages of children &amp; diapers used'!K25</f>
        <v>1</v>
      </c>
      <c r="G27">
        <f>SUM('Ages of children &amp; diapers used'!L25:M25)</f>
        <v>5</v>
      </c>
      <c r="H27" s="13">
        <f>(SUM(E27:F27)*$B$1+G27*$B$3)*Parameters!$B$12</f>
        <v>3060</v>
      </c>
      <c r="I27" s="13">
        <f>'Ages of children &amp; diapers used'!N25*Parameters!$B$23</f>
        <v>120</v>
      </c>
      <c r="J27" s="13">
        <f>SUMPRODUCT(E27:G27,Parameters!$B$47:$D$47)*'Additional activities'!$I$1*$I$2</f>
        <v>768.50946699279291</v>
      </c>
      <c r="K27" s="13">
        <f>-Parameters!$B$32/Parameters!$B$33*D27*'Ages of children &amp; diapers used'!N25</f>
        <v>-30.906749999999992</v>
      </c>
      <c r="L27" s="13">
        <f>-Parameters!$B$31*Parameters!$B$14</f>
        <v>-400</v>
      </c>
      <c r="M27" s="13">
        <f>-Parameters!$B$28*Parameters!$B$27*Parameters!$B$12*Parameters!$B$13*D27</f>
        <v>-2967.0479999999993</v>
      </c>
      <c r="N27" s="29">
        <f t="shared" si="0"/>
        <v>550.5547169927936</v>
      </c>
      <c r="O27" s="29">
        <f>N27/((1+Parameters!$C$38)^('Additional activities'!C27-1))</f>
        <v>531.8022706464177</v>
      </c>
    </row>
    <row r="28" spans="1:15" x14ac:dyDescent="0.25">
      <c r="A28" s="4">
        <v>44136</v>
      </c>
      <c r="B28">
        <f t="shared" si="1"/>
        <v>2</v>
      </c>
      <c r="C28">
        <f t="shared" si="2"/>
        <v>23</v>
      </c>
      <c r="D28">
        <f>IF(MONTH(A28)=Parameters!$B$40,(1+Parameters!$B$39)^'Additional activities'!B28,'Additional activities'!D27)</f>
        <v>1.0302249999999997</v>
      </c>
      <c r="E28">
        <f>SUM('Ages of children &amp; diapers used'!I26:J26)</f>
        <v>0</v>
      </c>
      <c r="F28">
        <f>'Ages of children &amp; diapers used'!K26</f>
        <v>1</v>
      </c>
      <c r="G28">
        <f>SUM('Ages of children &amp; diapers used'!L26:M26)</f>
        <v>5</v>
      </c>
      <c r="H28" s="13">
        <f>(SUM(E28:F28)*$B$1+G28*$B$3)*Parameters!$B$12</f>
        <v>3060</v>
      </c>
      <c r="I28" s="13">
        <f>'Ages of children &amp; diapers used'!N26*Parameters!$B$23</f>
        <v>120</v>
      </c>
      <c r="J28" s="13">
        <f>SUMPRODUCT(E28:G28,Parameters!$B$47:$D$47)*'Additional activities'!$I$1*$I$2</f>
        <v>768.50946699279291</v>
      </c>
      <c r="K28" s="13">
        <f>-Parameters!$B$32/Parameters!$B$33*D28*'Ages of children &amp; diapers used'!N26</f>
        <v>-30.906749999999992</v>
      </c>
      <c r="L28" s="13">
        <f>-Parameters!$B$31*Parameters!$B$14</f>
        <v>-400</v>
      </c>
      <c r="M28" s="13">
        <f>-Parameters!$B$28*Parameters!$B$27*Parameters!$B$12*Parameters!$B$13*D28</f>
        <v>-2967.0479999999993</v>
      </c>
      <c r="N28" s="29">
        <f t="shared" si="0"/>
        <v>550.5547169927936</v>
      </c>
      <c r="O28" s="29">
        <f>N28/((1+Parameters!$C$38)^('Additional activities'!C28-1))</f>
        <v>530.92540417616601</v>
      </c>
    </row>
    <row r="29" spans="1:15" x14ac:dyDescent="0.25">
      <c r="A29" s="4">
        <v>44166</v>
      </c>
      <c r="B29">
        <f t="shared" si="1"/>
        <v>2</v>
      </c>
      <c r="C29">
        <f t="shared" si="2"/>
        <v>24</v>
      </c>
      <c r="D29">
        <f>IF(MONTH(A29)=Parameters!$B$40,(1+Parameters!$B$39)^'Additional activities'!B29,'Additional activities'!D28)</f>
        <v>1.0302249999999997</v>
      </c>
      <c r="E29">
        <f>SUM('Ages of children &amp; diapers used'!I27:J27)</f>
        <v>0</v>
      </c>
      <c r="F29">
        <f>'Ages of children &amp; diapers used'!K27</f>
        <v>1</v>
      </c>
      <c r="G29">
        <f>SUM('Ages of children &amp; diapers used'!L27:M27)</f>
        <v>5</v>
      </c>
      <c r="H29" s="13">
        <f>(SUM(E29:F29)*$B$1+G29*$B$3)*Parameters!$B$12</f>
        <v>3060</v>
      </c>
      <c r="I29" s="13">
        <f>'Ages of children &amp; diapers used'!N27*Parameters!$B$23</f>
        <v>120</v>
      </c>
      <c r="J29" s="13">
        <f>SUMPRODUCT(E29:G29,Parameters!$B$47:$D$47)*'Additional activities'!$I$1*$I$2</f>
        <v>768.50946699279291</v>
      </c>
      <c r="K29" s="13">
        <f>-Parameters!$B$32/Parameters!$B$33*D29*'Ages of children &amp; diapers used'!N27</f>
        <v>-30.906749999999992</v>
      </c>
      <c r="L29" s="13">
        <f>-Parameters!$B$31*Parameters!$B$14</f>
        <v>-400</v>
      </c>
      <c r="M29" s="13">
        <f>-Parameters!$B$28*Parameters!$B$27*Parameters!$B$12*Parameters!$B$13*D29</f>
        <v>-2967.0479999999993</v>
      </c>
      <c r="N29" s="29">
        <f t="shared" si="0"/>
        <v>550.5547169927936</v>
      </c>
      <c r="O29" s="29">
        <f>N29/((1+Parameters!$C$38)^('Additional activities'!C29-1))</f>
        <v>530.04998353427777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2:R34"/>
  <sheetViews>
    <sheetView workbookViewId="0"/>
  </sheetViews>
  <sheetFormatPr defaultRowHeight="15" x14ac:dyDescent="0.25"/>
  <cols>
    <col min="1" max="1" width="13.42578125" customWidth="1"/>
    <col min="2" max="4" width="9.5703125" bestFit="1" customWidth="1"/>
  </cols>
  <sheetData>
    <row r="2" spans="1:17" ht="60" x14ac:dyDescent="0.25">
      <c r="A2" s="23" t="s">
        <v>19</v>
      </c>
      <c r="B2" s="23" t="s">
        <v>38</v>
      </c>
      <c r="C2" s="23" t="s">
        <v>37</v>
      </c>
    </row>
    <row r="3" spans="1:17" x14ac:dyDescent="0.25">
      <c r="A3" s="4">
        <f>'Projection_15 hours'!A6</f>
        <v>43466</v>
      </c>
      <c r="B3" s="13">
        <f>'Projection_15 hours'!M6</f>
        <v>6270</v>
      </c>
      <c r="C3" s="13">
        <f>'Projection_30 hours'!L6</f>
        <v>7079.8037186616803</v>
      </c>
      <c r="Q3" s="3" t="s">
        <v>44</v>
      </c>
    </row>
    <row r="4" spans="1:17" x14ac:dyDescent="0.25">
      <c r="A4" s="4">
        <f>'Projection_15 hours'!A7</f>
        <v>43497</v>
      </c>
      <c r="B4" s="13">
        <f>'Projection_15 hours'!M7</f>
        <v>6270</v>
      </c>
      <c r="C4" s="13">
        <f>'Projection_30 hours'!L7</f>
        <v>7079.8037186616803</v>
      </c>
      <c r="Q4" t="s">
        <v>87</v>
      </c>
    </row>
    <row r="5" spans="1:17" x14ac:dyDescent="0.25">
      <c r="A5" s="4">
        <f>'Projection_15 hours'!A8</f>
        <v>43525</v>
      </c>
      <c r="B5" s="13">
        <f>'Projection_15 hours'!M8</f>
        <v>6270</v>
      </c>
      <c r="C5" s="13">
        <f>'Projection_30 hours'!L8</f>
        <v>7079.8037186616803</v>
      </c>
      <c r="Q5" t="s">
        <v>41</v>
      </c>
    </row>
    <row r="6" spans="1:17" x14ac:dyDescent="0.25">
      <c r="A6" s="4">
        <f>'Projection_15 hours'!A9</f>
        <v>43556</v>
      </c>
      <c r="B6" s="13">
        <f>'Projection_15 hours'!M9</f>
        <v>6224.8499999999995</v>
      </c>
      <c r="C6" s="13">
        <f>'Projection_30 hours'!L9</f>
        <v>7034.6537186616797</v>
      </c>
      <c r="Q6" t="s">
        <v>45</v>
      </c>
    </row>
    <row r="7" spans="1:17" x14ac:dyDescent="0.25">
      <c r="A7" s="4">
        <f>'Projection_15 hours'!A10</f>
        <v>43586</v>
      </c>
      <c r="B7" s="13">
        <f>'Projection_15 hours'!M10</f>
        <v>6224.8499999999995</v>
      </c>
      <c r="C7" s="13">
        <f>'Projection_30 hours'!L10</f>
        <v>7034.6537186616797</v>
      </c>
      <c r="Q7" t="s">
        <v>46</v>
      </c>
    </row>
    <row r="8" spans="1:17" x14ac:dyDescent="0.25">
      <c r="A8" s="4">
        <f>'Projection_15 hours'!A11</f>
        <v>43617</v>
      </c>
      <c r="B8" s="13">
        <f>'Projection_15 hours'!M11</f>
        <v>4640.6750000000002</v>
      </c>
      <c r="C8" s="13">
        <f>'Projection_30 hours'!L11</f>
        <v>4716.1995231719711</v>
      </c>
    </row>
    <row r="9" spans="1:17" x14ac:dyDescent="0.25">
      <c r="A9" s="4">
        <f>'Projection_15 hours'!A12</f>
        <v>43647</v>
      </c>
      <c r="B9" s="13">
        <f>'Projection_15 hours'!M12</f>
        <v>4640.6750000000002</v>
      </c>
      <c r="C9" s="13">
        <f>'Projection_30 hours'!L12</f>
        <v>4716.1995231719711</v>
      </c>
    </row>
    <row r="10" spans="1:17" x14ac:dyDescent="0.25">
      <c r="A10" s="4">
        <f>'Projection_15 hours'!A13</f>
        <v>43678</v>
      </c>
      <c r="B10" s="13">
        <f>'Projection_15 hours'!M13</f>
        <v>4640.6750000000002</v>
      </c>
      <c r="C10" s="13">
        <f>'Projection_30 hours'!L13</f>
        <v>4716.1995231719711</v>
      </c>
    </row>
    <row r="11" spans="1:17" x14ac:dyDescent="0.25">
      <c r="A11" s="4">
        <f>'Projection_15 hours'!A14</f>
        <v>43709</v>
      </c>
      <c r="B11" s="13">
        <f>'Projection_15 hours'!M14</f>
        <v>4640.6750000000002</v>
      </c>
      <c r="C11" s="13">
        <f>'Projection_30 hours'!L14</f>
        <v>4716.1995231719711</v>
      </c>
    </row>
    <row r="12" spans="1:17" x14ac:dyDescent="0.25">
      <c r="A12" s="4">
        <f>'Projection_15 hours'!A15</f>
        <v>43739</v>
      </c>
      <c r="B12" s="13">
        <f>'Projection_15 hours'!M15</f>
        <v>4640.6750000000002</v>
      </c>
      <c r="C12" s="13">
        <f>'Projection_30 hours'!L15</f>
        <v>4716.1995231719711</v>
      </c>
    </row>
    <row r="13" spans="1:17" x14ac:dyDescent="0.25">
      <c r="A13" s="4">
        <f>'Projection_15 hours'!A16</f>
        <v>43770</v>
      </c>
      <c r="B13" s="13">
        <f>'Projection_15 hours'!M16</f>
        <v>4640.6750000000002</v>
      </c>
      <c r="C13" s="13">
        <f>'Projection_30 hours'!L16</f>
        <v>4716.1995231719711</v>
      </c>
    </row>
    <row r="14" spans="1:17" x14ac:dyDescent="0.25">
      <c r="A14" s="4">
        <f>'Projection_15 hours'!A17</f>
        <v>43800</v>
      </c>
      <c r="B14" s="13">
        <f>'Projection_15 hours'!M17</f>
        <v>4640.6750000000002</v>
      </c>
      <c r="C14" s="13">
        <f>'Projection_30 hours'!L17</f>
        <v>4716.1995231719711</v>
      </c>
    </row>
    <row r="15" spans="1:17" x14ac:dyDescent="0.25">
      <c r="A15" s="4">
        <f>'Projection_15 hours'!A18</f>
        <v>43831</v>
      </c>
      <c r="B15" s="13">
        <f>'Projection_15 hours'!M18</f>
        <v>4640.6750000000002</v>
      </c>
      <c r="C15" s="13">
        <f>'Projection_30 hours'!L18</f>
        <v>4716.1995231719711</v>
      </c>
    </row>
    <row r="16" spans="1:17" x14ac:dyDescent="0.25">
      <c r="A16" s="4">
        <f>'Projection_15 hours'!A19</f>
        <v>43862</v>
      </c>
      <c r="B16" s="13">
        <f>'Projection_15 hours'!M19</f>
        <v>4640.6750000000002</v>
      </c>
      <c r="C16" s="13">
        <f>'Projection_30 hours'!L19</f>
        <v>4716.1995231719711</v>
      </c>
    </row>
    <row r="17" spans="1:18" x14ac:dyDescent="0.25">
      <c r="A17" s="4">
        <f>'Projection_15 hours'!A20</f>
        <v>43891</v>
      </c>
      <c r="B17" s="13">
        <f>'Projection_15 hours'!M20</f>
        <v>4640.6750000000002</v>
      </c>
      <c r="C17" s="13">
        <f>'Projection_30 hours'!L20</f>
        <v>4716.1995231719711</v>
      </c>
    </row>
    <row r="18" spans="1:18" x14ac:dyDescent="0.25">
      <c r="A18" s="4">
        <f>'Projection_15 hours'!A21</f>
        <v>43922</v>
      </c>
      <c r="B18" s="13">
        <f>'Projection_15 hours'!M21</f>
        <v>4595.685125</v>
      </c>
      <c r="C18" s="13">
        <f>'Projection_30 hours'!L21</f>
        <v>4671.2096481719709</v>
      </c>
    </row>
    <row r="19" spans="1:18" x14ac:dyDescent="0.25">
      <c r="A19" s="4">
        <f>'Projection_15 hours'!A22</f>
        <v>43952</v>
      </c>
      <c r="B19" s="13">
        <f>'Projection_15 hours'!M22</f>
        <v>4595.685125</v>
      </c>
      <c r="C19" s="13">
        <f>'Projection_30 hours'!L22</f>
        <v>4671.2096481719709</v>
      </c>
      <c r="P19" t="s">
        <v>39</v>
      </c>
    </row>
    <row r="20" spans="1:18" x14ac:dyDescent="0.25">
      <c r="A20" s="4">
        <f>'Projection_15 hours'!A23</f>
        <v>43983</v>
      </c>
      <c r="B20" s="13">
        <f>'Projection_15 hours'!M23</f>
        <v>1282.0452500000006</v>
      </c>
      <c r="C20" s="13">
        <f>'Projection_30 hours'!L23</f>
        <v>554.65823732471745</v>
      </c>
    </row>
    <row r="21" spans="1:18" x14ac:dyDescent="0.25">
      <c r="A21" s="4">
        <f>'Projection_15 hours'!A24</f>
        <v>44013</v>
      </c>
      <c r="B21" s="13">
        <f>'Projection_15 hours'!M24</f>
        <v>1282.0452500000006</v>
      </c>
      <c r="C21" s="13">
        <f>'Projection_30 hours'!L24</f>
        <v>554.65823732471745</v>
      </c>
    </row>
    <row r="22" spans="1:18" x14ac:dyDescent="0.25">
      <c r="A22" s="4">
        <f>'Projection_15 hours'!A25</f>
        <v>44044</v>
      </c>
      <c r="B22" s="13">
        <f>'Projection_15 hours'!M25</f>
        <v>1282.0452500000006</v>
      </c>
      <c r="C22" s="13">
        <f>'Projection_30 hours'!L25</f>
        <v>554.65823732471745</v>
      </c>
    </row>
    <row r="23" spans="1:18" x14ac:dyDescent="0.25">
      <c r="A23" s="4">
        <f>'Projection_15 hours'!A26</f>
        <v>44075</v>
      </c>
      <c r="B23" s="13">
        <f>'Projection_15 hours'!M26</f>
        <v>1282.0452500000006</v>
      </c>
      <c r="C23" s="13">
        <f>'Projection_30 hours'!L26</f>
        <v>554.65823732471745</v>
      </c>
    </row>
    <row r="24" spans="1:18" x14ac:dyDescent="0.25">
      <c r="A24" s="4">
        <f>'Projection_15 hours'!A27</f>
        <v>44105</v>
      </c>
      <c r="B24" s="13">
        <f>'Projection_15 hours'!M27</f>
        <v>1282.0452500000006</v>
      </c>
      <c r="C24" s="13">
        <f>'Projection_30 hours'!L27</f>
        <v>554.65823732471745</v>
      </c>
    </row>
    <row r="25" spans="1:18" x14ac:dyDescent="0.25">
      <c r="A25" s="4">
        <f>'Projection_15 hours'!A28</f>
        <v>44136</v>
      </c>
      <c r="B25" s="13">
        <f>'Projection_15 hours'!M28</f>
        <v>1282.0452500000006</v>
      </c>
      <c r="C25" s="13">
        <f>'Projection_30 hours'!L28</f>
        <v>554.65823732471745</v>
      </c>
    </row>
    <row r="26" spans="1:18" x14ac:dyDescent="0.25">
      <c r="A26" s="4">
        <f>'Projection_15 hours'!A29</f>
        <v>44166</v>
      </c>
      <c r="B26" s="13">
        <f>'Projection_15 hours'!M29</f>
        <v>1282.0452500000006</v>
      </c>
      <c r="C26" s="13">
        <f>'Projection_30 hours'!L29</f>
        <v>554.65823732471745</v>
      </c>
    </row>
    <row r="27" spans="1:18" x14ac:dyDescent="0.25">
      <c r="A27" s="4"/>
      <c r="B27" s="13"/>
      <c r="C27" s="13"/>
      <c r="R27" s="3" t="s">
        <v>44</v>
      </c>
    </row>
    <row r="28" spans="1:18" x14ac:dyDescent="0.25">
      <c r="R28" t="s">
        <v>66</v>
      </c>
    </row>
    <row r="29" spans="1:18" x14ac:dyDescent="0.25">
      <c r="R29" t="s">
        <v>97</v>
      </c>
    </row>
    <row r="30" spans="1:18" x14ac:dyDescent="0.25">
      <c r="R30" t="s">
        <v>90</v>
      </c>
    </row>
    <row r="31" spans="1:18" ht="45" x14ac:dyDescent="0.25">
      <c r="A31" s="23" t="s">
        <v>61</v>
      </c>
      <c r="B31" s="23" t="s">
        <v>62</v>
      </c>
      <c r="C31" s="23" t="s">
        <v>54</v>
      </c>
      <c r="D31" s="23" t="s">
        <v>63</v>
      </c>
    </row>
    <row r="32" spans="1:18" x14ac:dyDescent="0.25">
      <c r="A32" t="s">
        <v>58</v>
      </c>
      <c r="B32" s="9">
        <f>'Projection_15 hours'!B1</f>
        <v>53</v>
      </c>
      <c r="C32" s="9">
        <f>B32</f>
        <v>53</v>
      </c>
      <c r="D32" s="9">
        <f>'Projection_15 hours'!B3</f>
        <v>35</v>
      </c>
    </row>
    <row r="33" spans="1:4" x14ac:dyDescent="0.25">
      <c r="A33" t="s">
        <v>59</v>
      </c>
      <c r="B33" s="9">
        <f>'Projection_30 hours'!B1</f>
        <v>66.381858930787573</v>
      </c>
      <c r="C33" s="9">
        <f>B33</f>
        <v>66.381858930787573</v>
      </c>
      <c r="D33" s="9">
        <f>'Projection_30 hours'!B3</f>
        <v>25.04975808708965</v>
      </c>
    </row>
    <row r="34" spans="1:4" x14ac:dyDescent="0.25">
      <c r="A34" t="s">
        <v>60</v>
      </c>
      <c r="B34" s="9">
        <f>'Additional activities'!B1+'Additional activities'!I1*Parameters!B47</f>
        <v>97.337084634199584</v>
      </c>
      <c r="C34" s="9">
        <f>'Additional activities'!B1+'Additional activities'!I1*Parameters!C47</f>
        <v>75.168542317099792</v>
      </c>
      <c r="D34" s="9">
        <f>'Additional activities'!B3+'Additional activities'!I1*Parameters!D47</f>
        <v>34.779028211399861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4C997-BFE4-4F27-846F-FF241FC65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5C6910-DCA1-4BDD-86AC-76F6AEC8533C}">
  <ds:schemaRefs>
    <ds:schemaRef ds:uri="cfdab824-e670-41f2-a5ee-7d4504103506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0a82e4c-fab7-409b-9177-d9582bcd9bf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8D4B24-E246-4B5E-8D0D-631B96607A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Parameters</vt:lpstr>
      <vt:lpstr>Ages of children &amp; diapers used</vt:lpstr>
      <vt:lpstr>Projection_15 hours</vt:lpstr>
      <vt:lpstr>Projection_30 hours</vt:lpstr>
      <vt:lpstr>Additional activities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Rosie Brooks</cp:lastModifiedBy>
  <dcterms:created xsi:type="dcterms:W3CDTF">2017-05-30T19:49:42Z</dcterms:created>
  <dcterms:modified xsi:type="dcterms:W3CDTF">2025-11-12T16:38:11Z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