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A7B7C03F-CB38-434D-BE02-CECF084CB7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ameters" sheetId="1" r:id="rId1"/>
    <sheet name="Revenue" sheetId="2" r:id="rId2"/>
    <sheet name="Scenario One" sheetId="3" r:id="rId3"/>
    <sheet name="Scenario Two" sheetId="10" r:id="rId4"/>
    <sheet name="Scenario Three" sheetId="11" r:id="rId5"/>
    <sheet name="Chart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3" l="1"/>
  <c r="E13" i="1" l="1"/>
  <c r="H22" i="11" l="1"/>
  <c r="H21" i="11"/>
  <c r="S16" i="11"/>
  <c r="G16" i="11"/>
  <c r="F16" i="11"/>
  <c r="B16" i="11"/>
  <c r="S15" i="11"/>
  <c r="G15" i="11"/>
  <c r="F15" i="11"/>
  <c r="B15" i="11"/>
  <c r="S14" i="11"/>
  <c r="G14" i="11"/>
  <c r="F14" i="11"/>
  <c r="B14" i="11"/>
  <c r="S13" i="11"/>
  <c r="G13" i="11"/>
  <c r="F13" i="11"/>
  <c r="B13" i="11"/>
  <c r="S12" i="11"/>
  <c r="G12" i="11"/>
  <c r="F12" i="11"/>
  <c r="B12" i="11"/>
  <c r="S11" i="11"/>
  <c r="G11" i="11"/>
  <c r="F11" i="11"/>
  <c r="B11" i="11"/>
  <c r="S10" i="11"/>
  <c r="G10" i="11"/>
  <c r="F10" i="11"/>
  <c r="B10" i="11"/>
  <c r="S9" i="11"/>
  <c r="G9" i="11"/>
  <c r="F9" i="11"/>
  <c r="B9" i="11"/>
  <c r="S8" i="11"/>
  <c r="G8" i="11"/>
  <c r="F8" i="11"/>
  <c r="B8" i="11"/>
  <c r="S7" i="11"/>
  <c r="G7" i="11"/>
  <c r="F7" i="11"/>
  <c r="B7" i="11"/>
  <c r="S6" i="11"/>
  <c r="G6" i="11"/>
  <c r="F6" i="11"/>
  <c r="B6" i="11"/>
  <c r="S5" i="11"/>
  <c r="G5" i="11"/>
  <c r="F5" i="11"/>
  <c r="B5" i="11"/>
  <c r="G6" i="10"/>
  <c r="G7" i="10"/>
  <c r="G8" i="10"/>
  <c r="G9" i="10"/>
  <c r="G10" i="10"/>
  <c r="G11" i="10"/>
  <c r="G12" i="10"/>
  <c r="G13" i="10"/>
  <c r="G14" i="10"/>
  <c r="G15" i="10"/>
  <c r="G16" i="10"/>
  <c r="G5" i="10"/>
  <c r="H22" i="10"/>
  <c r="H21" i="10"/>
  <c r="S16" i="10"/>
  <c r="F16" i="10"/>
  <c r="B16" i="10"/>
  <c r="S15" i="10"/>
  <c r="F15" i="10"/>
  <c r="B15" i="10"/>
  <c r="S14" i="10"/>
  <c r="F14" i="10"/>
  <c r="B14" i="10"/>
  <c r="S13" i="10"/>
  <c r="F13" i="10"/>
  <c r="B13" i="10"/>
  <c r="S12" i="10"/>
  <c r="F12" i="10"/>
  <c r="B12" i="10"/>
  <c r="S11" i="10"/>
  <c r="F11" i="10"/>
  <c r="B11" i="10"/>
  <c r="S10" i="10"/>
  <c r="F10" i="10"/>
  <c r="B10" i="10"/>
  <c r="S9" i="10"/>
  <c r="F9" i="10"/>
  <c r="B9" i="10"/>
  <c r="S8" i="10"/>
  <c r="F8" i="10"/>
  <c r="B8" i="10"/>
  <c r="S7" i="10"/>
  <c r="F7" i="10"/>
  <c r="B7" i="10"/>
  <c r="S6" i="10"/>
  <c r="F6" i="10"/>
  <c r="B6" i="10"/>
  <c r="S5" i="10"/>
  <c r="F5" i="10"/>
  <c r="B5" i="10"/>
  <c r="S6" i="3"/>
  <c r="S7" i="3"/>
  <c r="S8" i="3"/>
  <c r="S9" i="3"/>
  <c r="S10" i="3"/>
  <c r="S11" i="3"/>
  <c r="S12" i="3"/>
  <c r="S13" i="3"/>
  <c r="S14" i="3"/>
  <c r="S15" i="3"/>
  <c r="S16" i="3"/>
  <c r="G17" i="11" l="1"/>
  <c r="G21" i="11" s="1"/>
  <c r="I21" i="11" s="1"/>
  <c r="D26" i="6" s="1"/>
  <c r="G17" i="10"/>
  <c r="G21" i="10" s="1"/>
  <c r="I21" i="10" s="1"/>
  <c r="C26" i="6" s="1"/>
  <c r="H21" i="3" l="1"/>
  <c r="H22" i="3"/>
  <c r="G6" i="3" l="1"/>
  <c r="G7" i="3"/>
  <c r="G8" i="3"/>
  <c r="G9" i="3"/>
  <c r="G10" i="3"/>
  <c r="G11" i="3"/>
  <c r="G12" i="3"/>
  <c r="G13" i="3"/>
  <c r="G14" i="3"/>
  <c r="G15" i="3"/>
  <c r="G16" i="3"/>
  <c r="G5" i="3"/>
  <c r="F6" i="3"/>
  <c r="F7" i="3"/>
  <c r="F8" i="3"/>
  <c r="F9" i="3"/>
  <c r="F10" i="3"/>
  <c r="F11" i="3"/>
  <c r="F12" i="3"/>
  <c r="F13" i="3"/>
  <c r="F14" i="3"/>
  <c r="F15" i="3"/>
  <c r="F16" i="3"/>
  <c r="F5" i="3"/>
  <c r="Q5" i="2"/>
  <c r="P5" i="2"/>
  <c r="O5" i="2"/>
  <c r="N5" i="2"/>
  <c r="M5" i="2"/>
  <c r="B6" i="3"/>
  <c r="B7" i="3"/>
  <c r="B8" i="3"/>
  <c r="B9" i="3"/>
  <c r="B10" i="3"/>
  <c r="B11" i="3"/>
  <c r="B12" i="3"/>
  <c r="B13" i="3"/>
  <c r="B14" i="3"/>
  <c r="B15" i="3"/>
  <c r="B16" i="3"/>
  <c r="B5" i="3"/>
  <c r="D6" i="2"/>
  <c r="B6" i="2"/>
  <c r="H11" i="2"/>
  <c r="H6" i="2"/>
  <c r="A7" i="2"/>
  <c r="A8" i="2"/>
  <c r="A9" i="2"/>
  <c r="A10" i="2"/>
  <c r="A11" i="2"/>
  <c r="A12" i="2"/>
  <c r="A13" i="2"/>
  <c r="A14" i="2"/>
  <c r="A15" i="2"/>
  <c r="A16" i="2"/>
  <c r="A17" i="2"/>
  <c r="A6" i="2"/>
  <c r="D12" i="1"/>
  <c r="F6" i="2" s="1"/>
  <c r="E22" i="1"/>
  <c r="E23" i="1"/>
  <c r="H17" i="2" s="1"/>
  <c r="E18" i="1"/>
  <c r="H12" i="2" s="1"/>
  <c r="P12" i="2" s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17" i="2" s="1"/>
  <c r="C14" i="1"/>
  <c r="D8" i="2" s="1"/>
  <c r="C15" i="1"/>
  <c r="D9" i="2" s="1"/>
  <c r="C16" i="1"/>
  <c r="D10" i="2" s="1"/>
  <c r="C17" i="1"/>
  <c r="C18" i="1"/>
  <c r="D12" i="2" s="1"/>
  <c r="C19" i="1"/>
  <c r="D13" i="2" s="1"/>
  <c r="C20" i="1"/>
  <c r="D14" i="2" s="1"/>
  <c r="C21" i="1"/>
  <c r="D15" i="2" s="1"/>
  <c r="C22" i="1"/>
  <c r="D16" i="2" s="1"/>
  <c r="C23" i="1"/>
  <c r="D17" i="2" s="1"/>
  <c r="C13" i="1"/>
  <c r="D7" i="2" s="1"/>
  <c r="D18" i="1" l="1"/>
  <c r="F12" i="2" s="1"/>
  <c r="E7" i="2"/>
  <c r="N7" i="2"/>
  <c r="E10" i="2"/>
  <c r="N10" i="2"/>
  <c r="G12" i="2"/>
  <c r="O12" i="2"/>
  <c r="E6" i="2"/>
  <c r="N6" i="2"/>
  <c r="E17" i="2"/>
  <c r="N17" i="2"/>
  <c r="E9" i="2"/>
  <c r="N9" i="2"/>
  <c r="E8" i="2"/>
  <c r="N8" i="2"/>
  <c r="I11" i="2"/>
  <c r="P11" i="2"/>
  <c r="E16" i="2"/>
  <c r="N16" i="2"/>
  <c r="E15" i="2"/>
  <c r="N15" i="2"/>
  <c r="E14" i="2"/>
  <c r="N14" i="2"/>
  <c r="C17" i="2"/>
  <c r="M17" i="2"/>
  <c r="E13" i="2"/>
  <c r="N13" i="2"/>
  <c r="I17" i="2"/>
  <c r="P17" i="2"/>
  <c r="I6" i="2"/>
  <c r="P6" i="2"/>
  <c r="E12" i="2"/>
  <c r="N12" i="2"/>
  <c r="G6" i="2"/>
  <c r="O6" i="2"/>
  <c r="C6" i="2"/>
  <c r="K6" i="2" s="1"/>
  <c r="M6" i="2"/>
  <c r="I12" i="2"/>
  <c r="B14" i="2"/>
  <c r="M14" i="2" s="1"/>
  <c r="B10" i="2"/>
  <c r="M10" i="2" s="1"/>
  <c r="D17" i="1"/>
  <c r="F11" i="2" s="1"/>
  <c r="O11" i="2" s="1"/>
  <c r="E14" i="1"/>
  <c r="E15" i="1" s="1"/>
  <c r="E20" i="1" s="1"/>
  <c r="G17" i="3"/>
  <c r="J6" i="2"/>
  <c r="H16" i="2"/>
  <c r="P16" i="2" s="1"/>
  <c r="D22" i="1"/>
  <c r="F16" i="2" s="1"/>
  <c r="O16" i="2" s="1"/>
  <c r="D23" i="1"/>
  <c r="F17" i="2" s="1"/>
  <c r="O17" i="2" s="1"/>
  <c r="B13" i="2"/>
  <c r="M13" i="2" s="1"/>
  <c r="D14" i="1"/>
  <c r="F8" i="2" s="1"/>
  <c r="O8" i="2" s="1"/>
  <c r="B12" i="2"/>
  <c r="M12" i="2" s="1"/>
  <c r="D13" i="1"/>
  <c r="F7" i="2" s="1"/>
  <c r="O7" i="2" s="1"/>
  <c r="H7" i="2"/>
  <c r="P7" i="2" s="1"/>
  <c r="B11" i="2"/>
  <c r="M11" i="2" s="1"/>
  <c r="B9" i="2"/>
  <c r="M9" i="2" s="1"/>
  <c r="D11" i="2"/>
  <c r="N11" i="2" s="1"/>
  <c r="B16" i="2"/>
  <c r="M16" i="2" s="1"/>
  <c r="B8" i="2"/>
  <c r="M8" i="2" s="1"/>
  <c r="B15" i="2"/>
  <c r="M15" i="2" s="1"/>
  <c r="B7" i="2"/>
  <c r="M7" i="2" s="1"/>
  <c r="C5" i="10" l="1"/>
  <c r="C5" i="11"/>
  <c r="J17" i="2"/>
  <c r="Q6" i="2"/>
  <c r="E5" i="3" s="1"/>
  <c r="I5" i="3" s="1"/>
  <c r="J5" i="3" s="1"/>
  <c r="Q12" i="2"/>
  <c r="G11" i="2"/>
  <c r="H9" i="2"/>
  <c r="P9" i="2" s="1"/>
  <c r="C5" i="3"/>
  <c r="G21" i="3"/>
  <c r="I21" i="3" s="1"/>
  <c r="B26" i="6" s="1"/>
  <c r="E16" i="1"/>
  <c r="D16" i="1" s="1"/>
  <c r="F10" i="2" s="1"/>
  <c r="O10" i="2" s="1"/>
  <c r="D15" i="1"/>
  <c r="F9" i="2" s="1"/>
  <c r="O9" i="2" s="1"/>
  <c r="C10" i="2"/>
  <c r="G8" i="2"/>
  <c r="E21" i="1"/>
  <c r="D21" i="1" s="1"/>
  <c r="F15" i="2" s="1"/>
  <c r="O15" i="2" s="1"/>
  <c r="G7" i="2"/>
  <c r="G16" i="2"/>
  <c r="C14" i="2"/>
  <c r="I7" i="2"/>
  <c r="H14" i="2"/>
  <c r="P14" i="2" s="1"/>
  <c r="D20" i="1"/>
  <c r="F14" i="2" s="1"/>
  <c r="O14" i="2" s="1"/>
  <c r="E11" i="2"/>
  <c r="Q11" i="2"/>
  <c r="G17" i="2"/>
  <c r="K17" i="2" s="1"/>
  <c r="Q17" i="2"/>
  <c r="I16" i="2"/>
  <c r="H8" i="2"/>
  <c r="P8" i="2" s="1"/>
  <c r="C7" i="2"/>
  <c r="J7" i="2"/>
  <c r="C15" i="2"/>
  <c r="C12" i="2"/>
  <c r="K12" i="2" s="1"/>
  <c r="J12" i="2"/>
  <c r="C9" i="2"/>
  <c r="C8" i="2"/>
  <c r="J8" i="2"/>
  <c r="C16" i="2"/>
  <c r="J16" i="2"/>
  <c r="C13" i="2"/>
  <c r="C11" i="2"/>
  <c r="J11" i="2"/>
  <c r="H15" i="2"/>
  <c r="P15" i="2" s="1"/>
  <c r="E19" i="1"/>
  <c r="M5" i="3" l="1"/>
  <c r="N5" i="3" s="1"/>
  <c r="E16" i="11"/>
  <c r="I16" i="11" s="1"/>
  <c r="E16" i="10"/>
  <c r="I16" i="10" s="1"/>
  <c r="R5" i="3"/>
  <c r="T5" i="3" s="1"/>
  <c r="E10" i="11"/>
  <c r="I10" i="11" s="1"/>
  <c r="E10" i="10"/>
  <c r="I10" i="10" s="1"/>
  <c r="C16" i="11"/>
  <c r="R16" i="11" s="1"/>
  <c r="T16" i="11" s="1"/>
  <c r="C16" i="10"/>
  <c r="R16" i="10" s="1"/>
  <c r="T16" i="10" s="1"/>
  <c r="C11" i="10"/>
  <c r="C11" i="11"/>
  <c r="E11" i="10"/>
  <c r="I11" i="10" s="1"/>
  <c r="E11" i="11"/>
  <c r="I11" i="11" s="1"/>
  <c r="R5" i="11"/>
  <c r="T5" i="11" s="1"/>
  <c r="E5" i="10"/>
  <c r="I5" i="10" s="1"/>
  <c r="J5" i="10" s="1"/>
  <c r="E5" i="11"/>
  <c r="I5" i="11" s="1"/>
  <c r="J5" i="11" s="1"/>
  <c r="K5" i="3"/>
  <c r="L5" i="3" s="1"/>
  <c r="B4" i="6"/>
  <c r="K11" i="2"/>
  <c r="J9" i="2"/>
  <c r="E11" i="3"/>
  <c r="I11" i="3" s="1"/>
  <c r="Q16" i="2"/>
  <c r="E10" i="3"/>
  <c r="I10" i="3" s="1"/>
  <c r="G15" i="2"/>
  <c r="C11" i="3"/>
  <c r="E16" i="3"/>
  <c r="I16" i="3" s="1"/>
  <c r="K16" i="2"/>
  <c r="I8" i="2"/>
  <c r="K8" i="2" s="1"/>
  <c r="Q8" i="2"/>
  <c r="C16" i="3"/>
  <c r="C10" i="3"/>
  <c r="I15" i="2"/>
  <c r="H10" i="2"/>
  <c r="K7" i="2"/>
  <c r="Q7" i="2"/>
  <c r="G14" i="2"/>
  <c r="Q14" i="2"/>
  <c r="J14" i="2"/>
  <c r="G9" i="2"/>
  <c r="I14" i="2"/>
  <c r="I9" i="2"/>
  <c r="K9" i="2" s="1"/>
  <c r="G10" i="2"/>
  <c r="J15" i="2"/>
  <c r="H13" i="2"/>
  <c r="P13" i="2" s="1"/>
  <c r="D19" i="1"/>
  <c r="F13" i="2" s="1"/>
  <c r="O13" i="2" s="1"/>
  <c r="K15" i="2" l="1"/>
  <c r="C8" i="10"/>
  <c r="C8" i="11"/>
  <c r="E15" i="3"/>
  <c r="I15" i="3" s="1"/>
  <c r="E15" i="10"/>
  <c r="I15" i="10" s="1"/>
  <c r="E15" i="11"/>
  <c r="I15" i="11" s="1"/>
  <c r="R11" i="11"/>
  <c r="T11" i="11" s="1"/>
  <c r="C7" i="11"/>
  <c r="C7" i="10"/>
  <c r="C6" i="10"/>
  <c r="C6" i="11"/>
  <c r="E13" i="10"/>
  <c r="I13" i="10" s="1"/>
  <c r="E13" i="11"/>
  <c r="I13" i="11" s="1"/>
  <c r="E7" i="11"/>
  <c r="I7" i="11" s="1"/>
  <c r="E7" i="10"/>
  <c r="I7" i="10" s="1"/>
  <c r="D4" i="6"/>
  <c r="K5" i="11"/>
  <c r="L5" i="11" s="1"/>
  <c r="O5" i="11" s="1"/>
  <c r="J6" i="11" s="1"/>
  <c r="M5" i="11"/>
  <c r="N5" i="11" s="1"/>
  <c r="R11" i="10"/>
  <c r="T11" i="10" s="1"/>
  <c r="C4" i="6"/>
  <c r="M5" i="10"/>
  <c r="N5" i="10" s="1"/>
  <c r="K5" i="10"/>
  <c r="L5" i="10" s="1"/>
  <c r="O5" i="10" s="1"/>
  <c r="J6" i="10" s="1"/>
  <c r="E6" i="10"/>
  <c r="I6" i="10" s="1"/>
  <c r="E6" i="11"/>
  <c r="I6" i="11" s="1"/>
  <c r="C15" i="11"/>
  <c r="R15" i="11" s="1"/>
  <c r="T15" i="11" s="1"/>
  <c r="C15" i="10"/>
  <c r="R15" i="10" s="1"/>
  <c r="T15" i="10" s="1"/>
  <c r="C10" i="10"/>
  <c r="R10" i="10" s="1"/>
  <c r="T10" i="10" s="1"/>
  <c r="C10" i="11"/>
  <c r="R10" i="11" s="1"/>
  <c r="T10" i="11" s="1"/>
  <c r="R5" i="10"/>
  <c r="T5" i="10" s="1"/>
  <c r="O5" i="3"/>
  <c r="R11" i="3"/>
  <c r="T11" i="3" s="1"/>
  <c r="R16" i="3"/>
  <c r="T16" i="3" s="1"/>
  <c r="R10" i="3"/>
  <c r="T10" i="3" s="1"/>
  <c r="J10" i="2"/>
  <c r="P10" i="2"/>
  <c r="K14" i="2"/>
  <c r="C7" i="3"/>
  <c r="C13" i="3"/>
  <c r="E13" i="3"/>
  <c r="I13" i="3" s="1"/>
  <c r="C6" i="3"/>
  <c r="E6" i="3"/>
  <c r="I6" i="3" s="1"/>
  <c r="C14" i="3"/>
  <c r="Q9" i="2"/>
  <c r="Q15" i="2"/>
  <c r="I10" i="2"/>
  <c r="K10" i="2" s="1"/>
  <c r="Q10" i="2"/>
  <c r="C8" i="3"/>
  <c r="I13" i="2"/>
  <c r="Q13" i="2"/>
  <c r="E7" i="3"/>
  <c r="I7" i="3" s="1"/>
  <c r="C15" i="3"/>
  <c r="G13" i="2"/>
  <c r="J13" i="2"/>
  <c r="K6" i="10" l="1"/>
  <c r="L6" i="10" s="1"/>
  <c r="M6" i="10"/>
  <c r="C5" i="6"/>
  <c r="M6" i="11"/>
  <c r="K6" i="11"/>
  <c r="L6" i="11" s="1"/>
  <c r="D5" i="6"/>
  <c r="E14" i="11"/>
  <c r="I14" i="11" s="1"/>
  <c r="E14" i="10"/>
  <c r="I14" i="10" s="1"/>
  <c r="C13" i="10"/>
  <c r="R13" i="10" s="1"/>
  <c r="T13" i="10" s="1"/>
  <c r="C13" i="11"/>
  <c r="R13" i="11" s="1"/>
  <c r="T13" i="11" s="1"/>
  <c r="E9" i="10"/>
  <c r="I9" i="10" s="1"/>
  <c r="E9" i="11"/>
  <c r="I9" i="11" s="1"/>
  <c r="C9" i="11"/>
  <c r="C9" i="10"/>
  <c r="R9" i="10" s="1"/>
  <c r="T9" i="10" s="1"/>
  <c r="E8" i="10"/>
  <c r="I8" i="10" s="1"/>
  <c r="E8" i="11"/>
  <c r="I8" i="11" s="1"/>
  <c r="R6" i="11"/>
  <c r="T6" i="11" s="1"/>
  <c r="N6" i="11"/>
  <c r="O6" i="11" s="1"/>
  <c r="J7" i="11" s="1"/>
  <c r="R8" i="11"/>
  <c r="T8" i="11" s="1"/>
  <c r="J18" i="2"/>
  <c r="J19" i="2" s="1"/>
  <c r="R6" i="10"/>
  <c r="T6" i="10" s="1"/>
  <c r="N6" i="10"/>
  <c r="O6" i="10" s="1"/>
  <c r="J7" i="10" s="1"/>
  <c r="R7" i="10"/>
  <c r="T7" i="10" s="1"/>
  <c r="C14" i="11"/>
  <c r="C14" i="10"/>
  <c r="R14" i="10" s="1"/>
  <c r="T14" i="10" s="1"/>
  <c r="E12" i="10"/>
  <c r="I12" i="10" s="1"/>
  <c r="E12" i="11"/>
  <c r="I12" i="11" s="1"/>
  <c r="R7" i="11"/>
  <c r="T7" i="11" s="1"/>
  <c r="R6" i="3"/>
  <c r="T6" i="3" s="1"/>
  <c r="R7" i="3"/>
  <c r="T7" i="3" s="1"/>
  <c r="R15" i="3"/>
  <c r="T15" i="3" s="1"/>
  <c r="R13" i="3"/>
  <c r="T13" i="3" s="1"/>
  <c r="K13" i="2"/>
  <c r="E8" i="3"/>
  <c r="I8" i="3" s="1"/>
  <c r="E12" i="3"/>
  <c r="I12" i="3" s="1"/>
  <c r="E14" i="3"/>
  <c r="I14" i="3" s="1"/>
  <c r="E9" i="3"/>
  <c r="I9" i="3" s="1"/>
  <c r="C9" i="3"/>
  <c r="C6" i="6" l="1"/>
  <c r="K7" i="10"/>
  <c r="L7" i="10" s="1"/>
  <c r="M7" i="10"/>
  <c r="N7" i="10" s="1"/>
  <c r="R9" i="11"/>
  <c r="T9" i="11" s="1"/>
  <c r="R14" i="11"/>
  <c r="T14" i="11" s="1"/>
  <c r="M7" i="11"/>
  <c r="N7" i="11" s="1"/>
  <c r="O7" i="11" s="1"/>
  <c r="J8" i="11" s="1"/>
  <c r="D6" i="6"/>
  <c r="K7" i="11"/>
  <c r="L7" i="11" s="1"/>
  <c r="C12" i="10"/>
  <c r="R12" i="10" s="1"/>
  <c r="T12" i="10" s="1"/>
  <c r="C12" i="11"/>
  <c r="R12" i="11" s="1"/>
  <c r="T12" i="11" s="1"/>
  <c r="T17" i="11" s="1"/>
  <c r="R8" i="10"/>
  <c r="T8" i="10" s="1"/>
  <c r="T17" i="10" s="1"/>
  <c r="G22" i="10" s="1"/>
  <c r="I22" i="10" s="1"/>
  <c r="R9" i="3"/>
  <c r="T9" i="3" s="1"/>
  <c r="R14" i="3"/>
  <c r="T14" i="3" s="1"/>
  <c r="R8" i="3"/>
  <c r="T8" i="3" s="1"/>
  <c r="J6" i="3"/>
  <c r="M6" i="3" s="1"/>
  <c r="C12" i="3"/>
  <c r="G22" i="11" l="1"/>
  <c r="I22" i="11" s="1"/>
  <c r="T21" i="11"/>
  <c r="I23" i="10"/>
  <c r="C27" i="6"/>
  <c r="N6" i="3"/>
  <c r="O7" i="10"/>
  <c r="J8" i="10" s="1"/>
  <c r="D7" i="6"/>
  <c r="M8" i="11"/>
  <c r="N8" i="11" s="1"/>
  <c r="K8" i="11"/>
  <c r="L8" i="11" s="1"/>
  <c r="R12" i="3"/>
  <c r="T12" i="3" s="1"/>
  <c r="T17" i="3" s="1"/>
  <c r="G22" i="3" s="1"/>
  <c r="I22" i="3" s="1"/>
  <c r="K6" i="3"/>
  <c r="L6" i="3" s="1"/>
  <c r="B5" i="6"/>
  <c r="O6" i="3" l="1"/>
  <c r="C7" i="6"/>
  <c r="M8" i="10"/>
  <c r="N8" i="10" s="1"/>
  <c r="O8" i="10" s="1"/>
  <c r="J9" i="10" s="1"/>
  <c r="K8" i="10"/>
  <c r="L8" i="10" s="1"/>
  <c r="O8" i="11"/>
  <c r="J9" i="11" s="1"/>
  <c r="D27" i="6"/>
  <c r="I23" i="11"/>
  <c r="I23" i="3"/>
  <c r="B27" i="6"/>
  <c r="M9" i="11" l="1"/>
  <c r="N9" i="11" s="1"/>
  <c r="D8" i="6"/>
  <c r="K9" i="11"/>
  <c r="L9" i="11" s="1"/>
  <c r="M9" i="10"/>
  <c r="N9" i="10" s="1"/>
  <c r="K9" i="10"/>
  <c r="L9" i="10" s="1"/>
  <c r="O9" i="10" s="1"/>
  <c r="J10" i="10" s="1"/>
  <c r="C8" i="6"/>
  <c r="J7" i="3"/>
  <c r="M7" i="3" s="1"/>
  <c r="C9" i="6" l="1"/>
  <c r="M10" i="10"/>
  <c r="N10" i="10" s="1"/>
  <c r="K10" i="10"/>
  <c r="L10" i="10" s="1"/>
  <c r="N7" i="3"/>
  <c r="O9" i="11"/>
  <c r="J10" i="11" s="1"/>
  <c r="K7" i="3"/>
  <c r="L7" i="3" s="1"/>
  <c r="K10" i="11" l="1"/>
  <c r="L10" i="11" s="1"/>
  <c r="D9" i="6"/>
  <c r="M10" i="11"/>
  <c r="N10" i="11" s="1"/>
  <c r="O10" i="11" s="1"/>
  <c r="J11" i="11" s="1"/>
  <c r="O7" i="3"/>
  <c r="O10" i="10"/>
  <c r="J11" i="10" s="1"/>
  <c r="B6" i="6"/>
  <c r="C10" i="6" l="1"/>
  <c r="M11" i="10"/>
  <c r="N11" i="10" s="1"/>
  <c r="K11" i="10"/>
  <c r="L11" i="10" s="1"/>
  <c r="O11" i="10"/>
  <c r="J12" i="10" s="1"/>
  <c r="K11" i="11"/>
  <c r="L11" i="11" s="1"/>
  <c r="O11" i="11" s="1"/>
  <c r="J12" i="11" s="1"/>
  <c r="D10" i="6"/>
  <c r="M11" i="11"/>
  <c r="N11" i="11" s="1"/>
  <c r="J8" i="3"/>
  <c r="M8" i="3" s="1"/>
  <c r="M12" i="11" l="1"/>
  <c r="N12" i="11" s="1"/>
  <c r="D11" i="6"/>
  <c r="K12" i="11"/>
  <c r="L12" i="11" s="1"/>
  <c r="O12" i="11"/>
  <c r="J13" i="11" s="1"/>
  <c r="C11" i="6"/>
  <c r="K12" i="10"/>
  <c r="L12" i="10" s="1"/>
  <c r="O12" i="10" s="1"/>
  <c r="J13" i="10" s="1"/>
  <c r="M12" i="10"/>
  <c r="N12" i="10" s="1"/>
  <c r="N8" i="3"/>
  <c r="K8" i="3"/>
  <c r="L8" i="3" s="1"/>
  <c r="C12" i="6" l="1"/>
  <c r="M13" i="10"/>
  <c r="N13" i="10" s="1"/>
  <c r="K13" i="10"/>
  <c r="L13" i="10" s="1"/>
  <c r="O13" i="10" s="1"/>
  <c r="J14" i="10" s="1"/>
  <c r="O8" i="3"/>
  <c r="M13" i="11"/>
  <c r="N13" i="11" s="1"/>
  <c r="D12" i="6"/>
  <c r="K13" i="11"/>
  <c r="L13" i="11" s="1"/>
  <c r="O13" i="11" s="1"/>
  <c r="J14" i="11" s="1"/>
  <c r="B7" i="6"/>
  <c r="M14" i="11" l="1"/>
  <c r="N14" i="11" s="1"/>
  <c r="D13" i="6"/>
  <c r="K14" i="11"/>
  <c r="L14" i="11" s="1"/>
  <c r="O14" i="11" s="1"/>
  <c r="J15" i="11" s="1"/>
  <c r="M14" i="10"/>
  <c r="N14" i="10" s="1"/>
  <c r="C13" i="6"/>
  <c r="K14" i="10"/>
  <c r="L14" i="10" s="1"/>
  <c r="O14" i="10" s="1"/>
  <c r="J15" i="10" s="1"/>
  <c r="J9" i="3"/>
  <c r="M9" i="3" s="1"/>
  <c r="N9" i="3" s="1"/>
  <c r="M15" i="11" l="1"/>
  <c r="N15" i="11" s="1"/>
  <c r="D14" i="6"/>
  <c r="K15" i="11"/>
  <c r="L15" i="11" s="1"/>
  <c r="O15" i="11" s="1"/>
  <c r="J16" i="11" s="1"/>
  <c r="C14" i="6"/>
  <c r="K15" i="10"/>
  <c r="L15" i="10" s="1"/>
  <c r="O15" i="10" s="1"/>
  <c r="J16" i="10" s="1"/>
  <c r="M15" i="10"/>
  <c r="N15" i="10" s="1"/>
  <c r="K9" i="3"/>
  <c r="L9" i="3" s="1"/>
  <c r="O9" i="3" s="1"/>
  <c r="B8" i="6"/>
  <c r="K16" i="10" l="1"/>
  <c r="L16" i="10" s="1"/>
  <c r="L17" i="10" s="1"/>
  <c r="C15" i="6"/>
  <c r="M16" i="10"/>
  <c r="N16" i="10" s="1"/>
  <c r="O16" i="10" s="1"/>
  <c r="M16" i="11"/>
  <c r="K16" i="11"/>
  <c r="L16" i="11" s="1"/>
  <c r="L17" i="11" s="1"/>
  <c r="D44" i="6" s="1"/>
  <c r="D15" i="6"/>
  <c r="M17" i="10"/>
  <c r="C45" i="6" s="1"/>
  <c r="N16" i="11"/>
  <c r="M17" i="11"/>
  <c r="J10" i="3"/>
  <c r="M10" i="3" s="1"/>
  <c r="N10" i="3" s="1"/>
  <c r="O16" i="11" l="1"/>
  <c r="D16" i="6" s="1"/>
  <c r="C16" i="6"/>
  <c r="I25" i="10"/>
  <c r="I27" i="10" s="1"/>
  <c r="J27" i="10" s="1"/>
  <c r="C44" i="6"/>
  <c r="C31" i="10"/>
  <c r="D45" i="6"/>
  <c r="C25" i="11"/>
  <c r="K10" i="3"/>
  <c r="L10" i="3" s="1"/>
  <c r="O10" i="3" s="1"/>
  <c r="B9" i="6"/>
  <c r="J11" i="3" l="1"/>
  <c r="M11" i="3" s="1"/>
  <c r="N11" i="3" s="1"/>
  <c r="K11" i="3" l="1"/>
  <c r="L11" i="3" s="1"/>
  <c r="O11" i="3" s="1"/>
  <c r="B10" i="6"/>
  <c r="J12" i="3" l="1"/>
  <c r="M12" i="3" s="1"/>
  <c r="N12" i="3" s="1"/>
  <c r="K12" i="3" l="1"/>
  <c r="L12" i="3" s="1"/>
  <c r="O12" i="3" s="1"/>
  <c r="B11" i="6"/>
  <c r="J13" i="3" l="1"/>
  <c r="M13" i="3" s="1"/>
  <c r="N13" i="3" s="1"/>
  <c r="K13" i="3" l="1"/>
  <c r="L13" i="3" s="1"/>
  <c r="O13" i="3" s="1"/>
  <c r="B12" i="6" l="1"/>
  <c r="J14" i="3" l="1"/>
  <c r="M14" i="3" s="1"/>
  <c r="N14" i="3" s="1"/>
  <c r="K14" i="3" l="1"/>
  <c r="L14" i="3" s="1"/>
  <c r="O14" i="3" s="1"/>
  <c r="B13" i="6"/>
  <c r="J15" i="3" l="1"/>
  <c r="M15" i="3" s="1"/>
  <c r="N15" i="3" s="1"/>
  <c r="K15" i="3" l="1"/>
  <c r="L15" i="3" s="1"/>
  <c r="O15" i="3" s="1"/>
  <c r="B14" i="6"/>
  <c r="J16" i="3" l="1"/>
  <c r="M16" i="3" s="1"/>
  <c r="N16" i="3" l="1"/>
  <c r="M17" i="3"/>
  <c r="K16" i="3"/>
  <c r="L16" i="3" s="1"/>
  <c r="B15" i="6"/>
  <c r="B45" i="6" l="1"/>
  <c r="O16" i="3"/>
  <c r="L17" i="3"/>
  <c r="B44" i="6" s="1"/>
  <c r="B16" i="6"/>
  <c r="C25" i="3" l="1"/>
</calcChain>
</file>

<file path=xl/sharedStrings.xml><?xml version="1.0" encoding="utf-8"?>
<sst xmlns="http://schemas.openxmlformats.org/spreadsheetml/2006/main" count="165" uniqueCount="85">
  <si>
    <t>Rent</t>
  </si>
  <si>
    <t>Rent (payable quarterly)</t>
  </si>
  <si>
    <t>Proportion of units sold during the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</si>
  <si>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</si>
  <si>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</si>
  <si>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</si>
  <si>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</si>
  <si>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</si>
  <si>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</si>
  <si>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</si>
  <si>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</si>
  <si>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</si>
  <si>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</si>
  <si>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</si>
  <si>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</si>
  <si>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Cakes</t>
  </si>
  <si>
    <t>Bread</t>
  </si>
  <si>
    <t>Sandwiches</t>
  </si>
  <si>
    <t>Sale price</t>
  </si>
  <si>
    <t>Salary</t>
  </si>
  <si>
    <t>Number of units sold</t>
  </si>
  <si>
    <t>per month</t>
  </si>
  <si>
    <t>Tax rates in Actuaria:</t>
  </si>
  <si>
    <t>per annum</t>
  </si>
  <si>
    <t>Scenario One</t>
  </si>
  <si>
    <t>Month</t>
  </si>
  <si>
    <t>No sold</t>
  </si>
  <si>
    <t>Revenue</t>
  </si>
  <si>
    <t>Total</t>
  </si>
  <si>
    <t>Credit</t>
  </si>
  <si>
    <t>Overdraft</t>
  </si>
  <si>
    <t>Projection of Revenue</t>
  </si>
  <si>
    <t>INCOME</t>
  </si>
  <si>
    <t>EXPENDITURE (Shown as negative numbers)</t>
  </si>
  <si>
    <t>BANK ACCOUNT PROJECTION</t>
  </si>
  <si>
    <t>Cashflow at start</t>
  </si>
  <si>
    <t>Balance at start of month</t>
  </si>
  <si>
    <t>Balance at end of month</t>
  </si>
  <si>
    <t>Cashflow at end</t>
  </si>
  <si>
    <t>Scenario Two</t>
  </si>
  <si>
    <t>Check cell for goal seek</t>
  </si>
  <si>
    <t>Salary received during the year</t>
  </si>
  <si>
    <t>Tax rate</t>
  </si>
  <si>
    <t>Tax paid</t>
  </si>
  <si>
    <t>Total tax paid</t>
  </si>
  <si>
    <t>Bank interest rates:</t>
  </si>
  <si>
    <t>p.a. (payable quarterly in advance)</t>
  </si>
  <si>
    <t>Tax calculation</t>
  </si>
  <si>
    <t>Bank balance at end of year</t>
  </si>
  <si>
    <t>Difference</t>
  </si>
  <si>
    <t>Monthly Salary (so EOY bank balance = tax bill)</t>
  </si>
  <si>
    <t>Scenario Three</t>
  </si>
  <si>
    <t>Pies</t>
  </si>
  <si>
    <t>Production cost</t>
  </si>
  <si>
    <t>Chart of Grace's tax bill</t>
  </si>
  <si>
    <t>Tax</t>
  </si>
  <si>
    <t>Interest rate for month</t>
  </si>
  <si>
    <t xml:space="preserve"> I - E           (per month)</t>
  </si>
  <si>
    <t>Roll forward factor to  year end</t>
  </si>
  <si>
    <t>= Total</t>
  </si>
  <si>
    <t>Production Costs</t>
  </si>
  <si>
    <t>Chart of bank account balance</t>
  </si>
  <si>
    <t>Income calculations</t>
  </si>
  <si>
    <t>Production Cost calculations</t>
  </si>
  <si>
    <t>Interest for the month</t>
  </si>
  <si>
    <t>Overdraft fees</t>
  </si>
  <si>
    <t>Accumulated 'I-E' at end of year</t>
  </si>
  <si>
    <t>Accumulated     I-E cashflows                 at 31 Dec 2016</t>
  </si>
  <si>
    <t>ACCUMULATED I-E CALCULATION</t>
  </si>
  <si>
    <t>Monthly salary</t>
  </si>
  <si>
    <t>Self-test</t>
  </si>
  <si>
    <t>Chart of Grace's net bank charges</t>
  </si>
  <si>
    <t>Net bank fees</t>
  </si>
  <si>
    <t>Fees</t>
  </si>
  <si>
    <t>Net interest</t>
  </si>
  <si>
    <t>Parameters</t>
  </si>
  <si>
    <t>Salary tax rate</t>
  </si>
  <si>
    <t>Profit tax rate</t>
  </si>
  <si>
    <t>Rate to accumulate I-E</t>
  </si>
  <si>
    <t>Salary tax</t>
  </si>
  <si>
    <t>Profit tax</t>
  </si>
  <si>
    <t>Scenario Three - target zero profit tax</t>
  </si>
  <si>
    <t>Scenario Two - max salary so that total tax bill is equal to year end bank balance</t>
  </si>
  <si>
    <t>Scenario One - salary of $1,000 p.m.</t>
  </si>
  <si>
    <t>Monthly fee if overdrawn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</si>
</sst>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$-409]#,##0.00"/>
    <numFmt numFmtId="165" formatCode="[$$-409]#,##0"/>
    <numFmt numFmtId="166" formatCode="#,##0_ ;\-#,##0\ 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0" xfId="0" applyNumberFormat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165" fontId="0" fillId="0" borderId="0" xfId="0" applyNumberFormat="1"/>
    <xf numFmtId="0" fontId="0" fillId="0" borderId="0" xfId="0" applyAlignment="1">
      <alignment horizontal="center" wrapText="1"/>
    </xf>
    <xf numFmtId="165" fontId="0" fillId="3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9" fontId="0" fillId="0" borderId="0" xfId="2" applyFon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/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1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6" fontId="0" fillId="0" borderId="8" xfId="1" applyNumberFormat="1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165" fontId="0" fillId="0" borderId="5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Projection</a:t>
            </a:r>
            <a:r>
              <a:rPr lang="en-GB" baseline="0"/>
              <a:t> of bank account balance during the year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Charts!$B$3</c:f>
              <c:strCache>
                <c:ptCount val="1"/>
                <c:pt idx="0">
                  <c:v>Scenario 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Charts!$A$4:$A$16</c:f>
              <c:numCache>
                <c:formatCode>d\-mmm</c:formatCode>
                <c:ptCount val="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</c:numCache>
            </c:numRef>
          </c:cat>
          <c:val>
            <c:numRef>
              <c:f>Charts!$B$4:$B$16</c:f>
              <c:numCache>
                <c:formatCode>#,##0</c:formatCode>
                <c:ptCount val="13"/>
                <c:pt idx="0">
                  <c:v>-2000</c:v>
                </c:pt>
                <c:pt idx="1">
                  <c:v>-1208.1482475672965</c:v>
                </c:pt>
                <c:pt idx="2">
                  <c:v>-473.07039307688342</c:v>
                </c:pt>
                <c:pt idx="3">
                  <c:v>-1044.997740416658</c:v>
                </c:pt>
                <c:pt idx="4">
                  <c:v>-429.25519056474832</c:v>
                </c:pt>
                <c:pt idx="5">
                  <c:v>128.9959706541174</c:v>
                </c:pt>
                <c:pt idx="6">
                  <c:v>-520.68589048270928</c:v>
                </c:pt>
                <c:pt idx="7">
                  <c:v>-22.807229252935031</c:v>
                </c:pt>
                <c:pt idx="8">
                  <c:v>537.09985127192635</c:v>
                </c:pt>
                <c:pt idx="9">
                  <c:v>8.424484399827179</c:v>
                </c:pt>
                <c:pt idx="10">
                  <c:v>788.44526145104976</c:v>
                </c:pt>
                <c:pt idx="11">
                  <c:v>1630.3897801664825</c:v>
                </c:pt>
                <c:pt idx="12">
                  <c:v>3284.41076119838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3-4AD8-932C-47C1AC6C23C2}"/>
            </c:ext>
          </c:extLst>
        </c:ser>
        <c:ser>
          <c:idx val="1"/>
          <c:order val="1"/>
          <c:tx>
            <c:strRef>
              <c:f>Charts!$C$3</c:f>
              <c:strCache>
                <c:ptCount val="1"/>
                <c:pt idx="0">
                  <c:v>Scenario Two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Charts!$A$4:$A$16</c:f>
              <c:numCache>
                <c:formatCode>d\-mmm</c:formatCode>
                <c:ptCount val="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</c:numCache>
            </c:numRef>
          </c:cat>
          <c:val>
            <c:numRef>
              <c:f>Charts!$C$4:$C$16</c:f>
              <c:numCache>
                <c:formatCode>#,##0</c:formatCode>
                <c:ptCount val="13"/>
                <c:pt idx="0">
                  <c:v>-2000</c:v>
                </c:pt>
                <c:pt idx="1">
                  <c:v>-1101.4682475672967</c:v>
                </c:pt>
                <c:pt idx="2">
                  <c:v>-259.27576555164433</c:v>
                </c:pt>
                <c:pt idx="3">
                  <c:v>-723.65208711460218</c:v>
                </c:pt>
                <c:pt idx="4">
                  <c:v>7.9664706197263513E-2</c:v>
                </c:pt>
                <c:pt idx="5">
                  <c:v>766.75986118085393</c:v>
                </c:pt>
                <c:pt idx="6">
                  <c:v>225.33089784909998</c:v>
                </c:pt>
                <c:pt idx="7">
                  <c:v>932.56662463123121</c:v>
                </c:pt>
                <c:pt idx="8">
                  <c:v>1701.5465855082184</c:v>
                </c:pt>
                <c:pt idx="9">
                  <c:v>1282.4230584182237</c:v>
                </c:pt>
                <c:pt idx="10">
                  <c:v>2172.2658596425053</c:v>
                </c:pt>
                <c:pt idx="11">
                  <c:v>3124.3032532695488</c:v>
                </c:pt>
                <c:pt idx="12">
                  <c:v>4888.688627942598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3-4AD8-932C-47C1AC6C23C2}"/>
            </c:ext>
          </c:extLst>
        </c:ser>
        <c:ser>
          <c:idx val="2"/>
          <c:order val="2"/>
          <c:tx>
            <c:strRef>
              <c:f>Charts!$D$3</c:f>
              <c:strCache>
                <c:ptCount val="1"/>
                <c:pt idx="0">
                  <c:v>Scenario Three</c:v>
                </c:pt>
              </c:strCache>
            </c:strRef>
          </c:tx>
          <c:marker>
            <c:symbol val="none"/>
          </c:marker>
          <c:cat>
            <c:numRef>
              <c:f>Charts!$A$4:$A$16</c:f>
              <c:numCache>
                <c:formatCode>d\-mmm</c:formatCode>
                <c:ptCount val="1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</c:numCache>
            </c:numRef>
          </c:cat>
          <c:val>
            <c:numRef>
              <c:f>Charts!$D$4:$D$16</c:f>
              <c:numCache>
                <c:formatCode>#,##0</c:formatCode>
                <c:ptCount val="13"/>
                <c:pt idx="0">
                  <c:v>-2000</c:v>
                </c:pt>
                <c:pt idx="1">
                  <c:v>-1538.2009650252717</c:v>
                </c:pt>
                <c:pt idx="2">
                  <c:v>-1134.520503618887</c:v>
                </c:pt>
                <c:pt idx="3">
                  <c:v>-2039.1953980436924</c:v>
                </c:pt>
                <c:pt idx="4">
                  <c:v>-1757.5560499723435</c:v>
                </c:pt>
                <c:pt idx="5">
                  <c:v>-1534.7692683346058</c:v>
                </c:pt>
                <c:pt idx="6">
                  <c:v>-2621.0748257711157</c:v>
                </c:pt>
                <c:pt idx="7">
                  <c:v>-2461.8061265154865</c:v>
                </c:pt>
                <c:pt idx="8">
                  <c:v>-2241.8885468642293</c:v>
                </c:pt>
                <c:pt idx="9">
                  <c:v>-3211.0749957712724</c:v>
                </c:pt>
                <c:pt idx="10">
                  <c:v>-2874.2100302405979</c:v>
                </c:pt>
                <c:pt idx="11">
                  <c:v>-2475.9726351419768</c:v>
                </c:pt>
                <c:pt idx="12">
                  <c:v>-1266.112771600446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D-4BAA-B952-58FCD2EC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524992"/>
        <c:axId val="79526528"/>
      </c:lineChart>
      <c:dateAx>
        <c:axId val="795249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6528"/>
        <c:crosses val="autoZero"/>
        <c:auto val="1"/>
        <c:lblOffset val="100"/>
        <c:baseTimeUnit val="months"/>
      </c:dateAx>
      <c:valAx>
        <c:axId val="7952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tax bill in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Charts!$A$26</c:f>
              <c:strCache>
                <c:ptCount val="1"/>
                <c:pt idx="0">
                  <c:v>Salary tax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Charts!$B$25:$D$25</c:f>
              <c:strCache>
                <c:ptCount val="3"/>
                <c:pt idx="0">
                  <c:v>Scenario One</c:v>
                </c:pt>
                <c:pt idx="1">
                  <c:v>Scenario Two</c:v>
                </c:pt>
                <c:pt idx="2">
                  <c:v>Scenario Three</c:v>
                </c:pt>
              </c:strCache>
            </c:strRef>
          </c:cat>
          <c:val>
            <c:numRef>
              <c:f>Charts!$B$26:$D$26</c:f>
              <c:numCache>
                <c:formatCode>#,##0</c:formatCode>
                <c:ptCount val="3"/>
                <c:pt idx="0">
                  <c:v>3000</c:v>
                </c:pt>
                <c:pt idx="1">
                  <c:v>2679.9599999999996</c:v>
                </c:pt>
                <c:pt idx="2">
                  <c:v>3990.1581523739246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6-4E9C-B70A-03D472CE3C06}"/>
            </c:ext>
          </c:extLst>
        </c:ser>
        <c:ser>
          <c:idx val="1"/>
          <c:order val="1"/>
          <c:tx>
            <c:strRef>
              <c:f>Charts!$A$27</c:f>
              <c:strCache>
                <c:ptCount val="1"/>
                <c:pt idx="0">
                  <c:v>Profit tax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Charts!$B$25:$D$25</c:f>
              <c:strCache>
                <c:ptCount val="3"/>
                <c:pt idx="0">
                  <c:v>Scenario One</c:v>
                </c:pt>
                <c:pt idx="1">
                  <c:v>Scenario Two</c:v>
                </c:pt>
                <c:pt idx="2">
                  <c:v>Scenario Three</c:v>
                </c:pt>
              </c:strCache>
            </c:strRef>
          </c:cat>
          <c:val>
            <c:numRef>
              <c:f>Charts!$B$27:$D$27</c:f>
              <c:numCache>
                <c:formatCode>#,##0</c:formatCode>
                <c:ptCount val="3"/>
                <c:pt idx="0">
                  <c:v>1662.2032220266688</c:v>
                </c:pt>
                <c:pt idx="1">
                  <c:v>2199.462363813263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6-4E9C-B70A-03D472CE3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552896"/>
        <c:axId val="79554432"/>
      </c:barChart>
      <c:catAx>
        <c:axId val="7955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4432"/>
        <c:crosses val="autoZero"/>
        <c:auto val="1"/>
        <c:lblAlgn val="ctr"/>
        <c:lblOffset val="100"/>
        <c:noMultiLvlLbl val="0"/>
      </c:catAx>
      <c:valAx>
        <c:axId val="795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net bank</a:t>
            </a:r>
            <a:r>
              <a:rPr lang="en-US" baseline="0"/>
              <a:t> charges in </a:t>
            </a:r>
            <a:r>
              <a:rPr lang="en-US"/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Charts!$A$44</c:f>
              <c:strCache>
                <c:ptCount val="1"/>
                <c:pt idx="0">
                  <c:v>Net interest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Charts!$B$43:$D$43</c:f>
              <c:strCache>
                <c:ptCount val="3"/>
                <c:pt idx="0">
                  <c:v>Scenario One</c:v>
                </c:pt>
                <c:pt idx="1">
                  <c:v>Scenario Two</c:v>
                </c:pt>
                <c:pt idx="2">
                  <c:v>Scenario Three</c:v>
                </c:pt>
              </c:strCache>
            </c:strRef>
          </c:cat>
          <c:val>
            <c:numRef>
              <c:f>Charts!$B$44:$D$44</c:f>
              <c:numCache>
                <c:formatCode>#,##0</c:formatCode>
                <c:ptCount val="3"/>
                <c:pt idx="0">
                  <c:v>-15.589238801620219</c:v>
                </c:pt>
                <c:pt idx="1">
                  <c:v>8.5286279425993641</c:v>
                </c:pt>
                <c:pt idx="2">
                  <c:v>-105.48016210474651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6-4E9C-B70A-03D472CE3C06}"/>
            </c:ext>
          </c:extLst>
        </c:ser>
        <c:ser>
          <c:idx val="1"/>
          <c:order val="1"/>
          <c:tx>
            <c:strRef>
              <c:f>Charts!$A$45</c:f>
              <c:strCache>
                <c:ptCount val="1"/>
                <c:pt idx="0">
                  <c:v>Fees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Charts!$B$43:$D$43</c:f>
              <c:strCache>
                <c:ptCount val="3"/>
                <c:pt idx="0">
                  <c:v>Scenario One</c:v>
                </c:pt>
                <c:pt idx="1">
                  <c:v>Scenario Two</c:v>
                </c:pt>
                <c:pt idx="2">
                  <c:v>Scenario Three</c:v>
                </c:pt>
              </c:strCache>
            </c:strRef>
          </c:cat>
          <c:val>
            <c:numRef>
              <c:f>Charts!$B$45:$D$45</c:f>
              <c:numCache>
                <c:formatCode>#,##0</c:formatCode>
                <c:ptCount val="3"/>
                <c:pt idx="0">
                  <c:v>-700</c:v>
                </c:pt>
                <c:pt idx="1">
                  <c:v>-400</c:v>
                </c:pt>
                <c:pt idx="2">
                  <c:v>-1200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6-4E9C-B70A-03D472CE3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867264"/>
        <c:axId val="79869056"/>
      </c:barChart>
      <c:catAx>
        <c:axId val="798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69056"/>
        <c:crosses val="autoZero"/>
        <c:auto val="1"/>
        <c:lblAlgn val="ctr"/>
        <c:lblOffset val="100"/>
        <c:noMultiLvlLbl val="0"/>
      </c:catAx>
      <c:valAx>
        <c:axId val="7986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6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579120</xdr:colOff>
      <xdr:row>1</xdr:row>
      <xdr:rowOff>137160</xdr:rowOff>
    </xdr:from>
    <xdr:to>
      <xdr:col>16</xdr:col>
      <xdr:colOff>400050</xdr:colOff>
      <xdr:row>21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601980</xdr:colOff>
      <xdr:row>24</xdr:row>
      <xdr:rowOff>30480</xdr:rowOff>
    </xdr:from>
    <xdr:to>
      <xdr:col>16</xdr:col>
      <xdr:colOff>396240</xdr:colOff>
      <xdr:row>39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</xdr:colOff>
      <xdr:row>41</xdr:row>
      <xdr:rowOff>171450</xdr:rowOff>
    </xdr:from>
    <xdr:to>
      <xdr:col>16</xdr:col>
      <xdr:colOff>432435</xdr:colOff>
      <xdr:row>56</xdr:row>
      <xdr:rowOff>169545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/>
  </sheetViews>
  <sheetFormatPr defaultRowHeight="15" x14ac:dyDescent="0.25"/>
  <cols>
    <col min="1" max="1" width="15.7109375" customWidth="1"/>
    <col min="2" max="2" width="10.28515625" customWidth="1"/>
    <col min="3" max="3" width="9.28515625" bestFit="1" customWidth="1"/>
    <col min="4" max="4" width="10.7109375" customWidth="1"/>
    <col min="5" max="5" width="11.42578125" customWidth="1"/>
  </cols>
  <sheetData>
    <row r="1" spans="1:5" ht="18.75" x14ac:dyDescent="0.3">
      <c r="A1" s="10" t="s">
        <v>75</v>
      </c>
    </row>
    <row r="2" spans="1:5" x14ac:dyDescent="0.25">
      <c r="C2" s="7"/>
    </row>
    <row r="3" spans="1:5" x14ac:dyDescent="0.25">
      <c r="C3" s="7"/>
    </row>
    <row r="4" spans="1:5" x14ac:dyDescent="0.25">
      <c r="A4" t="s">
        <v>1</v>
      </c>
      <c r="C4" s="7">
        <v>5000</v>
      </c>
      <c r="D4" t="s">
        <v>46</v>
      </c>
    </row>
    <row r="5" spans="1:5" x14ac:dyDescent="0.25">
      <c r="C5" s="7"/>
    </row>
    <row r="6" spans="1:5" x14ac:dyDescent="0.25">
      <c r="A6" t="s">
        <v>19</v>
      </c>
      <c r="C6" s="7">
        <v>1000</v>
      </c>
      <c r="D6" t="s">
        <v>21</v>
      </c>
    </row>
    <row r="8" spans="1:5" x14ac:dyDescent="0.25">
      <c r="A8" t="s">
        <v>20</v>
      </c>
      <c r="C8" s="8">
        <v>1000</v>
      </c>
      <c r="D8" t="s">
        <v>21</v>
      </c>
    </row>
    <row r="10" spans="1:5" x14ac:dyDescent="0.25">
      <c r="A10" t="s">
        <v>2</v>
      </c>
    </row>
    <row r="11" spans="1:5" x14ac:dyDescent="0.25">
      <c r="B11" s="5" t="s">
        <v>16</v>
      </c>
      <c r="C11" s="5" t="s">
        <v>15</v>
      </c>
      <c r="D11" s="5" t="s">
        <v>17</v>
      </c>
      <c r="E11" s="5" t="s">
        <v>52</v>
      </c>
    </row>
    <row r="12" spans="1:5" x14ac:dyDescent="0.25">
      <c r="A12" s="1" t="s">
        <v>3</v>
      </c>
      <c r="B12" s="4">
        <v>0.25</v>
      </c>
      <c r="C12" s="4">
        <v>0.25</v>
      </c>
      <c r="D12" s="3">
        <f t="shared" ref="D12:D23" si="0">100%-E12-C12-B12</f>
        <v>9.9999999999999978E-2</v>
      </c>
      <c r="E12" s="4">
        <v>0.4</v>
      </c>
    </row>
    <row r="13" spans="1:5" x14ac:dyDescent="0.25">
      <c r="A13" s="1" t="s">
        <v>4</v>
      </c>
      <c r="B13" s="3">
        <f>B12</f>
        <v>0.25</v>
      </c>
      <c r="C13" s="3">
        <f>$C$12</f>
        <v>0.25</v>
      </c>
      <c r="D13" s="3">
        <f t="shared" si="0"/>
        <v>0.15999999999999992</v>
      </c>
      <c r="E13" s="3">
        <f>E12-($E$12-$E$17)/5</f>
        <v>0.34</v>
      </c>
    </row>
    <row r="14" spans="1:5" x14ac:dyDescent="0.25">
      <c r="A14" s="1" t="s">
        <v>5</v>
      </c>
      <c r="B14" s="3">
        <f t="shared" ref="B14:B23" si="1">B13</f>
        <v>0.25</v>
      </c>
      <c r="C14" s="3">
        <f t="shared" ref="C14:C23" si="2">$C$12</f>
        <v>0.25</v>
      </c>
      <c r="D14" s="3">
        <f t="shared" si="0"/>
        <v>0.21999999999999997</v>
      </c>
      <c r="E14" s="3">
        <f>E13-($E$12-$E$17)/5</f>
        <v>0.28000000000000003</v>
      </c>
    </row>
    <row r="15" spans="1:5" x14ac:dyDescent="0.25">
      <c r="A15" s="1" t="s">
        <v>6</v>
      </c>
      <c r="B15" s="3">
        <f t="shared" si="1"/>
        <v>0.25</v>
      </c>
      <c r="C15" s="3">
        <f t="shared" si="2"/>
        <v>0.25</v>
      </c>
      <c r="D15" s="3">
        <f t="shared" si="0"/>
        <v>0.28000000000000003</v>
      </c>
      <c r="E15" s="3">
        <f>E14-($E$12-$E$17)/5</f>
        <v>0.22000000000000003</v>
      </c>
    </row>
    <row r="16" spans="1:5" x14ac:dyDescent="0.25">
      <c r="A16" s="1" t="s">
        <v>7</v>
      </c>
      <c r="B16" s="3">
        <f t="shared" si="1"/>
        <v>0.25</v>
      </c>
      <c r="C16" s="3">
        <f t="shared" si="2"/>
        <v>0.25</v>
      </c>
      <c r="D16" s="3">
        <f t="shared" si="0"/>
        <v>0.33999999999999997</v>
      </c>
      <c r="E16" s="3">
        <f>E15-($E$12-$E$17)/5</f>
        <v>0.16000000000000003</v>
      </c>
    </row>
    <row r="17" spans="1:5" x14ac:dyDescent="0.25">
      <c r="A17" s="1" t="s">
        <v>8</v>
      </c>
      <c r="B17" s="3">
        <f t="shared" si="1"/>
        <v>0.25</v>
      </c>
      <c r="C17" s="3">
        <f t="shared" si="2"/>
        <v>0.25</v>
      </c>
      <c r="D17" s="3">
        <f t="shared" si="0"/>
        <v>0.4</v>
      </c>
      <c r="E17" s="4">
        <v>0.1</v>
      </c>
    </row>
    <row r="18" spans="1:5" x14ac:dyDescent="0.25">
      <c r="A18" s="1" t="s">
        <v>9</v>
      </c>
      <c r="B18" s="3">
        <f t="shared" si="1"/>
        <v>0.25</v>
      </c>
      <c r="C18" s="3">
        <f t="shared" si="2"/>
        <v>0.25</v>
      </c>
      <c r="D18" s="3">
        <f t="shared" si="0"/>
        <v>0.4</v>
      </c>
      <c r="E18" s="3">
        <f>E17</f>
        <v>0.1</v>
      </c>
    </row>
    <row r="19" spans="1:5" x14ac:dyDescent="0.25">
      <c r="A19" s="1" t="s">
        <v>10</v>
      </c>
      <c r="B19" s="3">
        <f t="shared" si="1"/>
        <v>0.25</v>
      </c>
      <c r="C19" s="3">
        <f t="shared" si="2"/>
        <v>0.25</v>
      </c>
      <c r="D19" s="3">
        <f t="shared" si="0"/>
        <v>0.33999999999999997</v>
      </c>
      <c r="E19" s="3">
        <f>E16</f>
        <v>0.16000000000000003</v>
      </c>
    </row>
    <row r="20" spans="1:5" x14ac:dyDescent="0.25">
      <c r="A20" s="1" t="s">
        <v>11</v>
      </c>
      <c r="B20" s="3">
        <f t="shared" si="1"/>
        <v>0.25</v>
      </c>
      <c r="C20" s="3">
        <f t="shared" si="2"/>
        <v>0.25</v>
      </c>
      <c r="D20" s="3">
        <f t="shared" si="0"/>
        <v>0.28000000000000003</v>
      </c>
      <c r="E20" s="3">
        <f>E15</f>
        <v>0.22000000000000003</v>
      </c>
    </row>
    <row r="21" spans="1:5" x14ac:dyDescent="0.25">
      <c r="A21" s="1" t="s">
        <v>12</v>
      </c>
      <c r="B21" s="3">
        <f t="shared" si="1"/>
        <v>0.25</v>
      </c>
      <c r="C21" s="3">
        <f t="shared" si="2"/>
        <v>0.25</v>
      </c>
      <c r="D21" s="3">
        <f t="shared" si="0"/>
        <v>0.21999999999999997</v>
      </c>
      <c r="E21" s="3">
        <f>E14</f>
        <v>0.28000000000000003</v>
      </c>
    </row>
    <row r="22" spans="1:5" x14ac:dyDescent="0.25">
      <c r="A22" s="1" t="s">
        <v>13</v>
      </c>
      <c r="B22" s="3">
        <f t="shared" si="1"/>
        <v>0.25</v>
      </c>
      <c r="C22" s="3">
        <f t="shared" si="2"/>
        <v>0.25</v>
      </c>
      <c r="D22" s="3">
        <f t="shared" si="0"/>
        <v>0.15999999999999992</v>
      </c>
      <c r="E22" s="3">
        <f>E13</f>
        <v>0.34</v>
      </c>
    </row>
    <row r="23" spans="1:5" x14ac:dyDescent="0.25">
      <c r="A23" s="1" t="s">
        <v>14</v>
      </c>
      <c r="B23" s="3">
        <f t="shared" si="1"/>
        <v>0.25</v>
      </c>
      <c r="C23" s="3">
        <f t="shared" si="2"/>
        <v>0.25</v>
      </c>
      <c r="D23" s="3">
        <f t="shared" si="0"/>
        <v>9.9999999999999978E-2</v>
      </c>
      <c r="E23" s="3">
        <f>E12</f>
        <v>0.4</v>
      </c>
    </row>
    <row r="25" spans="1:5" x14ac:dyDescent="0.25">
      <c r="A25" t="s">
        <v>18</v>
      </c>
      <c r="B25" s="6">
        <v>1</v>
      </c>
      <c r="C25" s="6">
        <v>2</v>
      </c>
      <c r="D25" s="6">
        <v>3</v>
      </c>
      <c r="E25" s="6">
        <v>4</v>
      </c>
    </row>
    <row r="26" spans="1:5" x14ac:dyDescent="0.25">
      <c r="A26" t="s">
        <v>53</v>
      </c>
      <c r="B26" s="6">
        <v>0.5</v>
      </c>
      <c r="C26" s="6">
        <v>0.5</v>
      </c>
      <c r="D26" s="6">
        <v>1</v>
      </c>
      <c r="E26" s="6">
        <v>1</v>
      </c>
    </row>
    <row r="29" spans="1:5" x14ac:dyDescent="0.25">
      <c r="A29" t="s">
        <v>22</v>
      </c>
    </row>
    <row r="30" spans="1:5" x14ac:dyDescent="0.25">
      <c r="A30" t="s">
        <v>76</v>
      </c>
      <c r="D30" s="2">
        <v>0.25</v>
      </c>
    </row>
    <row r="31" spans="1:5" x14ac:dyDescent="0.25">
      <c r="A31" t="s">
        <v>77</v>
      </c>
      <c r="D31" s="2">
        <v>0.4</v>
      </c>
    </row>
    <row r="32" spans="1:5" x14ac:dyDescent="0.25">
      <c r="A32" t="s">
        <v>78</v>
      </c>
      <c r="D32" s="2">
        <v>0.1</v>
      </c>
      <c r="E32" t="s">
        <v>23</v>
      </c>
    </row>
    <row r="34" spans="1:5" x14ac:dyDescent="0.25">
      <c r="A34" t="s">
        <v>45</v>
      </c>
    </row>
    <row r="35" spans="1:5" x14ac:dyDescent="0.25">
      <c r="A35" t="s">
        <v>29</v>
      </c>
      <c r="D35" s="2">
        <v>0.03</v>
      </c>
      <c r="E35" t="s">
        <v>23</v>
      </c>
    </row>
    <row r="36" spans="1:5" x14ac:dyDescent="0.25">
      <c r="A36" t="s">
        <v>30</v>
      </c>
      <c r="D36" s="2">
        <v>0.05</v>
      </c>
      <c r="E36" t="s">
        <v>23</v>
      </c>
    </row>
    <row r="37" spans="1:5" x14ac:dyDescent="0.25">
      <c r="A37" t="s">
        <v>84</v>
      </c>
      <c r="D37" s="39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workbookViewId="0"/>
  </sheetViews>
  <sheetFormatPr defaultRowHeight="15" x14ac:dyDescent="0.25"/>
  <cols>
    <col min="12" max="12" width="3.140625" customWidth="1"/>
    <col min="15" max="15" width="11.85546875" customWidth="1"/>
  </cols>
  <sheetData>
    <row r="1" spans="1:17" ht="18.75" x14ac:dyDescent="0.3">
      <c r="A1" s="10" t="s">
        <v>31</v>
      </c>
    </row>
    <row r="3" spans="1:17" x14ac:dyDescent="0.25">
      <c r="B3" s="23" t="s">
        <v>62</v>
      </c>
      <c r="C3" s="24"/>
      <c r="D3" s="24"/>
      <c r="E3" s="24"/>
      <c r="F3" s="24"/>
      <c r="G3" s="24"/>
      <c r="H3" s="24"/>
      <c r="I3" s="24"/>
      <c r="J3" s="24"/>
      <c r="K3" s="25"/>
      <c r="M3" s="23" t="s">
        <v>63</v>
      </c>
      <c r="N3" s="24"/>
      <c r="O3" s="24"/>
      <c r="P3" s="24"/>
      <c r="Q3" s="25"/>
    </row>
    <row r="4" spans="1:17" x14ac:dyDescent="0.25">
      <c r="B4" s="46" t="s">
        <v>16</v>
      </c>
      <c r="C4" s="45"/>
      <c r="D4" s="45" t="s">
        <v>15</v>
      </c>
      <c r="E4" s="45"/>
      <c r="F4" s="45" t="s">
        <v>17</v>
      </c>
      <c r="G4" s="45"/>
      <c r="H4" s="45" t="s">
        <v>52</v>
      </c>
      <c r="I4" s="45"/>
      <c r="J4" s="45" t="s">
        <v>28</v>
      </c>
      <c r="K4" s="47"/>
      <c r="M4" s="35"/>
      <c r="Q4" s="36"/>
    </row>
    <row r="5" spans="1:17" x14ac:dyDescent="0.25">
      <c r="A5" s="5" t="s">
        <v>25</v>
      </c>
      <c r="B5" s="26" t="s">
        <v>26</v>
      </c>
      <c r="C5" s="5" t="s">
        <v>27</v>
      </c>
      <c r="D5" s="5" t="s">
        <v>26</v>
      </c>
      <c r="E5" s="5" t="s">
        <v>27</v>
      </c>
      <c r="F5" s="5" t="s">
        <v>26</v>
      </c>
      <c r="G5" s="5" t="s">
        <v>27</v>
      </c>
      <c r="H5" s="5" t="s">
        <v>26</v>
      </c>
      <c r="I5" s="5" t="s">
        <v>27</v>
      </c>
      <c r="J5" s="5" t="s">
        <v>26</v>
      </c>
      <c r="K5" s="27" t="s">
        <v>27</v>
      </c>
      <c r="M5" s="35" t="str">
        <f>B4</f>
        <v>Bread</v>
      </c>
      <c r="N5" t="str">
        <f>D4</f>
        <v>Cakes</v>
      </c>
      <c r="O5" t="str">
        <f>F4</f>
        <v>Sandwiches</v>
      </c>
      <c r="P5" s="5" t="str">
        <f>H4</f>
        <v>Pies</v>
      </c>
      <c r="Q5" s="27" t="str">
        <f>J4</f>
        <v>Total</v>
      </c>
    </row>
    <row r="6" spans="1:17" x14ac:dyDescent="0.25">
      <c r="A6" s="5" t="str">
        <f>Parameters!A12</f>
        <v>Jan</v>
      </c>
      <c r="B6" s="26">
        <f>Parameters!B12*Parameters!$C$8</f>
        <v>250</v>
      </c>
      <c r="C6" s="7">
        <f>B6*Parameters!$B$25</f>
        <v>250</v>
      </c>
      <c r="D6" s="5">
        <f>Parameters!C12*Parameters!$C$8</f>
        <v>250</v>
      </c>
      <c r="E6" s="7">
        <f>D6*Parameters!$C$25</f>
        <v>500</v>
      </c>
      <c r="F6" s="5">
        <f>Parameters!D12*Parameters!$C$8</f>
        <v>99.999999999999972</v>
      </c>
      <c r="G6" s="7">
        <f>F6*Parameters!$D$25</f>
        <v>299.99999999999989</v>
      </c>
      <c r="H6" s="5">
        <f>Parameters!E12*Parameters!$C$8</f>
        <v>400</v>
      </c>
      <c r="I6" s="7">
        <f>H6*Parameters!$E$25</f>
        <v>1600</v>
      </c>
      <c r="J6" s="28">
        <f>B6+D6+F6+H6</f>
        <v>1000</v>
      </c>
      <c r="K6" s="29">
        <f>C6+E6+G6+I6</f>
        <v>2650</v>
      </c>
      <c r="M6" s="37">
        <f>B6*Parameters!$B$26</f>
        <v>125</v>
      </c>
      <c r="N6" s="7">
        <f>D6*Parameters!$C$26</f>
        <v>125</v>
      </c>
      <c r="O6" s="7">
        <f>F6*Parameters!$D$26</f>
        <v>99.999999999999972</v>
      </c>
      <c r="P6" s="7">
        <f>H6*Parameters!$E$26</f>
        <v>400</v>
      </c>
      <c r="Q6" s="29">
        <f>SUM(M6:P6)</f>
        <v>750</v>
      </c>
    </row>
    <row r="7" spans="1:17" x14ac:dyDescent="0.25">
      <c r="A7" s="5" t="str">
        <f>Parameters!A13</f>
        <v>Feb</v>
      </c>
      <c r="B7" s="26">
        <f>Parameters!B13*Parameters!$C$8</f>
        <v>250</v>
      </c>
      <c r="C7" s="7">
        <f>B7*Parameters!$B$25</f>
        <v>250</v>
      </c>
      <c r="D7" s="5">
        <f>Parameters!C13*Parameters!$C$8</f>
        <v>250</v>
      </c>
      <c r="E7" s="7">
        <f>D7*Parameters!$C$25</f>
        <v>500</v>
      </c>
      <c r="F7" s="5">
        <f>Parameters!D13*Parameters!$C$8</f>
        <v>159.99999999999991</v>
      </c>
      <c r="G7" s="7">
        <f>F7*Parameters!$D$25</f>
        <v>479.99999999999977</v>
      </c>
      <c r="H7" s="5">
        <f>Parameters!E13*Parameters!$C$8</f>
        <v>340</v>
      </c>
      <c r="I7" s="7">
        <f>H7*Parameters!$E$25</f>
        <v>1360</v>
      </c>
      <c r="J7" s="28">
        <f t="shared" ref="J7:J17" si="0">B7+D7+F7+H7</f>
        <v>999.99999999999989</v>
      </c>
      <c r="K7" s="29">
        <f t="shared" ref="K7:K17" si="1">C7+E7+G7+I7</f>
        <v>2590</v>
      </c>
      <c r="M7" s="37">
        <f>B7*Parameters!$B$26</f>
        <v>125</v>
      </c>
      <c r="N7" s="7">
        <f>D7*Parameters!$C$26</f>
        <v>125</v>
      </c>
      <c r="O7" s="7">
        <f>F7*Parameters!$D$26</f>
        <v>159.99999999999991</v>
      </c>
      <c r="P7" s="7">
        <f>H7*Parameters!$E$26</f>
        <v>340</v>
      </c>
      <c r="Q7" s="29">
        <f t="shared" ref="Q7:Q17" si="2">SUM(M7:P7)</f>
        <v>749.99999999999989</v>
      </c>
    </row>
    <row r="8" spans="1:17" x14ac:dyDescent="0.25">
      <c r="A8" s="5" t="str">
        <f>Parameters!A14</f>
        <v>Mar</v>
      </c>
      <c r="B8" s="26">
        <f>Parameters!B14*Parameters!$C$8</f>
        <v>250</v>
      </c>
      <c r="C8" s="7">
        <f>B8*Parameters!$B$25</f>
        <v>250</v>
      </c>
      <c r="D8" s="5">
        <f>Parameters!C14*Parameters!$C$8</f>
        <v>250</v>
      </c>
      <c r="E8" s="7">
        <f>D8*Parameters!$C$25</f>
        <v>500</v>
      </c>
      <c r="F8" s="5">
        <f>Parameters!D14*Parameters!$C$8</f>
        <v>219.99999999999997</v>
      </c>
      <c r="G8" s="7">
        <f>F8*Parameters!$D$25</f>
        <v>659.99999999999989</v>
      </c>
      <c r="H8" s="5">
        <f>Parameters!E14*Parameters!$C$8</f>
        <v>280</v>
      </c>
      <c r="I8" s="7">
        <f>H8*Parameters!$E$25</f>
        <v>1120</v>
      </c>
      <c r="J8" s="28">
        <f t="shared" si="0"/>
        <v>1000</v>
      </c>
      <c r="K8" s="29">
        <f t="shared" si="1"/>
        <v>2530</v>
      </c>
      <c r="M8" s="37">
        <f>B8*Parameters!$B$26</f>
        <v>125</v>
      </c>
      <c r="N8" s="7">
        <f>D8*Parameters!$C$26</f>
        <v>125</v>
      </c>
      <c r="O8" s="7">
        <f>F8*Parameters!$D$26</f>
        <v>219.99999999999997</v>
      </c>
      <c r="P8" s="7">
        <f>H8*Parameters!$E$26</f>
        <v>280</v>
      </c>
      <c r="Q8" s="29">
        <f t="shared" si="2"/>
        <v>750</v>
      </c>
    </row>
    <row r="9" spans="1:17" x14ac:dyDescent="0.25">
      <c r="A9" s="5" t="str">
        <f>Parameters!A15</f>
        <v>Apr</v>
      </c>
      <c r="B9" s="26">
        <f>Parameters!B15*Parameters!$C$8</f>
        <v>250</v>
      </c>
      <c r="C9" s="7">
        <f>B9*Parameters!$B$25</f>
        <v>250</v>
      </c>
      <c r="D9" s="5">
        <f>Parameters!C15*Parameters!$C$8</f>
        <v>250</v>
      </c>
      <c r="E9" s="7">
        <f>D9*Parameters!$C$25</f>
        <v>500</v>
      </c>
      <c r="F9" s="5">
        <f>Parameters!D15*Parameters!$C$8</f>
        <v>280</v>
      </c>
      <c r="G9" s="7">
        <f>F9*Parameters!$D$25</f>
        <v>840</v>
      </c>
      <c r="H9" s="5">
        <f>Parameters!E15*Parameters!$C$8</f>
        <v>220.00000000000003</v>
      </c>
      <c r="I9" s="7">
        <f>H9*Parameters!$E$25</f>
        <v>880.00000000000011</v>
      </c>
      <c r="J9" s="28">
        <f t="shared" si="0"/>
        <v>1000</v>
      </c>
      <c r="K9" s="29">
        <f t="shared" si="1"/>
        <v>2470</v>
      </c>
      <c r="M9" s="37">
        <f>B9*Parameters!$B$26</f>
        <v>125</v>
      </c>
      <c r="N9" s="7">
        <f>D9*Parameters!$C$26</f>
        <v>125</v>
      </c>
      <c r="O9" s="7">
        <f>F9*Parameters!$D$26</f>
        <v>280</v>
      </c>
      <c r="P9" s="7">
        <f>H9*Parameters!$E$26</f>
        <v>220.00000000000003</v>
      </c>
      <c r="Q9" s="29">
        <f t="shared" si="2"/>
        <v>750</v>
      </c>
    </row>
    <row r="10" spans="1:17" x14ac:dyDescent="0.25">
      <c r="A10" s="5" t="str">
        <f>Parameters!A16</f>
        <v>May</v>
      </c>
      <c r="B10" s="26">
        <f>Parameters!B16*Parameters!$C$8</f>
        <v>250</v>
      </c>
      <c r="C10" s="7">
        <f>B10*Parameters!$B$25</f>
        <v>250</v>
      </c>
      <c r="D10" s="5">
        <f>Parameters!C16*Parameters!$C$8</f>
        <v>250</v>
      </c>
      <c r="E10" s="7">
        <f>D10*Parameters!$C$25</f>
        <v>500</v>
      </c>
      <c r="F10" s="5">
        <f>Parameters!D16*Parameters!$C$8</f>
        <v>339.99999999999994</v>
      </c>
      <c r="G10" s="7">
        <f>F10*Parameters!$D$25</f>
        <v>1019.9999999999998</v>
      </c>
      <c r="H10" s="5">
        <f>Parameters!E16*Parameters!$C$8</f>
        <v>160.00000000000003</v>
      </c>
      <c r="I10" s="7">
        <f>H10*Parameters!$E$25</f>
        <v>640.00000000000011</v>
      </c>
      <c r="J10" s="28">
        <f t="shared" si="0"/>
        <v>1000</v>
      </c>
      <c r="K10" s="29">
        <f t="shared" si="1"/>
        <v>2410</v>
      </c>
      <c r="M10" s="37">
        <f>B10*Parameters!$B$26</f>
        <v>125</v>
      </c>
      <c r="N10" s="7">
        <f>D10*Parameters!$C$26</f>
        <v>125</v>
      </c>
      <c r="O10" s="7">
        <f>F10*Parameters!$D$26</f>
        <v>339.99999999999994</v>
      </c>
      <c r="P10" s="7">
        <f>H10*Parameters!$E$26</f>
        <v>160.00000000000003</v>
      </c>
      <c r="Q10" s="29">
        <f t="shared" si="2"/>
        <v>750</v>
      </c>
    </row>
    <row r="11" spans="1:17" x14ac:dyDescent="0.25">
      <c r="A11" s="5" t="str">
        <f>Parameters!A17</f>
        <v>Jun</v>
      </c>
      <c r="B11" s="26">
        <f>Parameters!B17*Parameters!$C$8</f>
        <v>250</v>
      </c>
      <c r="C11" s="7">
        <f>B11*Parameters!$B$25</f>
        <v>250</v>
      </c>
      <c r="D11" s="5">
        <f>Parameters!C17*Parameters!$C$8</f>
        <v>250</v>
      </c>
      <c r="E11" s="7">
        <f>D11*Parameters!$C$25</f>
        <v>500</v>
      </c>
      <c r="F11" s="5">
        <f>Parameters!D17*Parameters!$C$8</f>
        <v>400</v>
      </c>
      <c r="G11" s="7">
        <f>F11*Parameters!$D$25</f>
        <v>1200</v>
      </c>
      <c r="H11" s="5">
        <f>Parameters!E17*Parameters!$C$8</f>
        <v>100</v>
      </c>
      <c r="I11" s="7">
        <f>H11*Parameters!$E$25</f>
        <v>400</v>
      </c>
      <c r="J11" s="28">
        <f t="shared" si="0"/>
        <v>1000</v>
      </c>
      <c r="K11" s="29">
        <f t="shared" si="1"/>
        <v>2350</v>
      </c>
      <c r="M11" s="37">
        <f>B11*Parameters!$B$26</f>
        <v>125</v>
      </c>
      <c r="N11" s="7">
        <f>D11*Parameters!$C$26</f>
        <v>125</v>
      </c>
      <c r="O11" s="7">
        <f>F11*Parameters!$D$26</f>
        <v>400</v>
      </c>
      <c r="P11" s="7">
        <f>H11*Parameters!$E$26</f>
        <v>100</v>
      </c>
      <c r="Q11" s="29">
        <f t="shared" si="2"/>
        <v>750</v>
      </c>
    </row>
    <row r="12" spans="1:17" x14ac:dyDescent="0.25">
      <c r="A12" s="5" t="str">
        <f>Parameters!A18</f>
        <v>Jul</v>
      </c>
      <c r="B12" s="26">
        <f>Parameters!B18*Parameters!$C$8</f>
        <v>250</v>
      </c>
      <c r="C12" s="7">
        <f>B12*Parameters!$B$25</f>
        <v>250</v>
      </c>
      <c r="D12" s="5">
        <f>Parameters!C18*Parameters!$C$8</f>
        <v>250</v>
      </c>
      <c r="E12" s="7">
        <f>D12*Parameters!$C$25</f>
        <v>500</v>
      </c>
      <c r="F12" s="5">
        <f>Parameters!D18*Parameters!$C$8</f>
        <v>400</v>
      </c>
      <c r="G12" s="7">
        <f>F12*Parameters!$D$25</f>
        <v>1200</v>
      </c>
      <c r="H12" s="5">
        <f>Parameters!E18*Parameters!$C$8</f>
        <v>100</v>
      </c>
      <c r="I12" s="7">
        <f>H12*Parameters!$E$25</f>
        <v>400</v>
      </c>
      <c r="J12" s="28">
        <f t="shared" si="0"/>
        <v>1000</v>
      </c>
      <c r="K12" s="29">
        <f t="shared" si="1"/>
        <v>2350</v>
      </c>
      <c r="M12" s="37">
        <f>B12*Parameters!$B$26</f>
        <v>125</v>
      </c>
      <c r="N12" s="7">
        <f>D12*Parameters!$C$26</f>
        <v>125</v>
      </c>
      <c r="O12" s="7">
        <f>F12*Parameters!$D$26</f>
        <v>400</v>
      </c>
      <c r="P12" s="7">
        <f>H12*Parameters!$E$26</f>
        <v>100</v>
      </c>
      <c r="Q12" s="29">
        <f t="shared" si="2"/>
        <v>750</v>
      </c>
    </row>
    <row r="13" spans="1:17" x14ac:dyDescent="0.25">
      <c r="A13" s="5" t="str">
        <f>Parameters!A19</f>
        <v>Aug</v>
      </c>
      <c r="B13" s="26">
        <f>Parameters!B19*Parameters!$C$8</f>
        <v>250</v>
      </c>
      <c r="C13" s="7">
        <f>B13*Parameters!$B$25</f>
        <v>250</v>
      </c>
      <c r="D13" s="5">
        <f>Parameters!C19*Parameters!$C$8</f>
        <v>250</v>
      </c>
      <c r="E13" s="7">
        <f>D13*Parameters!$C$25</f>
        <v>500</v>
      </c>
      <c r="F13" s="5">
        <f>Parameters!D19*Parameters!$C$8</f>
        <v>339.99999999999994</v>
      </c>
      <c r="G13" s="7">
        <f>F13*Parameters!$D$25</f>
        <v>1019.9999999999998</v>
      </c>
      <c r="H13" s="5">
        <f>Parameters!E19*Parameters!$C$8</f>
        <v>160.00000000000003</v>
      </c>
      <c r="I13" s="7">
        <f>H13*Parameters!$E$25</f>
        <v>640.00000000000011</v>
      </c>
      <c r="J13" s="28">
        <f t="shared" si="0"/>
        <v>1000</v>
      </c>
      <c r="K13" s="29">
        <f t="shared" si="1"/>
        <v>2410</v>
      </c>
      <c r="M13" s="37">
        <f>B13*Parameters!$B$26</f>
        <v>125</v>
      </c>
      <c r="N13" s="7">
        <f>D13*Parameters!$C$26</f>
        <v>125</v>
      </c>
      <c r="O13" s="7">
        <f>F13*Parameters!$D$26</f>
        <v>339.99999999999994</v>
      </c>
      <c r="P13" s="7">
        <f>H13*Parameters!$E$26</f>
        <v>160.00000000000003</v>
      </c>
      <c r="Q13" s="29">
        <f t="shared" si="2"/>
        <v>750</v>
      </c>
    </row>
    <row r="14" spans="1:17" x14ac:dyDescent="0.25">
      <c r="A14" s="5" t="str">
        <f>Parameters!A20</f>
        <v>Sep</v>
      </c>
      <c r="B14" s="26">
        <f>Parameters!B20*Parameters!$C$8</f>
        <v>250</v>
      </c>
      <c r="C14" s="7">
        <f>B14*Parameters!$B$25</f>
        <v>250</v>
      </c>
      <c r="D14" s="5">
        <f>Parameters!C20*Parameters!$C$8</f>
        <v>250</v>
      </c>
      <c r="E14" s="7">
        <f>D14*Parameters!$C$25</f>
        <v>500</v>
      </c>
      <c r="F14" s="5">
        <f>Parameters!D20*Parameters!$C$8</f>
        <v>280</v>
      </c>
      <c r="G14" s="7">
        <f>F14*Parameters!$D$25</f>
        <v>840</v>
      </c>
      <c r="H14" s="5">
        <f>Parameters!E20*Parameters!$C$8</f>
        <v>220.00000000000003</v>
      </c>
      <c r="I14" s="7">
        <f>H14*Parameters!$E$25</f>
        <v>880.00000000000011</v>
      </c>
      <c r="J14" s="28">
        <f t="shared" si="0"/>
        <v>1000</v>
      </c>
      <c r="K14" s="29">
        <f t="shared" si="1"/>
        <v>2470</v>
      </c>
      <c r="M14" s="37">
        <f>B14*Parameters!$B$26</f>
        <v>125</v>
      </c>
      <c r="N14" s="7">
        <f>D14*Parameters!$C$26</f>
        <v>125</v>
      </c>
      <c r="O14" s="7">
        <f>F14*Parameters!$D$26</f>
        <v>280</v>
      </c>
      <c r="P14" s="7">
        <f>H14*Parameters!$E$26</f>
        <v>220.00000000000003</v>
      </c>
      <c r="Q14" s="29">
        <f t="shared" si="2"/>
        <v>750</v>
      </c>
    </row>
    <row r="15" spans="1:17" x14ac:dyDescent="0.25">
      <c r="A15" s="5" t="str">
        <f>Parameters!A21</f>
        <v>Oct</v>
      </c>
      <c r="B15" s="26">
        <f>Parameters!B21*Parameters!$C$8</f>
        <v>250</v>
      </c>
      <c r="C15" s="7">
        <f>B15*Parameters!$B$25</f>
        <v>250</v>
      </c>
      <c r="D15" s="5">
        <f>Parameters!C21*Parameters!$C$8</f>
        <v>250</v>
      </c>
      <c r="E15" s="7">
        <f>D15*Parameters!$C$25</f>
        <v>500</v>
      </c>
      <c r="F15" s="5">
        <f>Parameters!D21*Parameters!$C$8</f>
        <v>219.99999999999997</v>
      </c>
      <c r="G15" s="7">
        <f>F15*Parameters!$D$25</f>
        <v>659.99999999999989</v>
      </c>
      <c r="H15" s="5">
        <f>Parameters!E21*Parameters!$C$8</f>
        <v>280</v>
      </c>
      <c r="I15" s="7">
        <f>H15*Parameters!$E$25</f>
        <v>1120</v>
      </c>
      <c r="J15" s="28">
        <f t="shared" si="0"/>
        <v>1000</v>
      </c>
      <c r="K15" s="29">
        <f t="shared" si="1"/>
        <v>2530</v>
      </c>
      <c r="M15" s="37">
        <f>B15*Parameters!$B$26</f>
        <v>125</v>
      </c>
      <c r="N15" s="7">
        <f>D15*Parameters!$C$26</f>
        <v>125</v>
      </c>
      <c r="O15" s="7">
        <f>F15*Parameters!$D$26</f>
        <v>219.99999999999997</v>
      </c>
      <c r="P15" s="7">
        <f>H15*Parameters!$E$26</f>
        <v>280</v>
      </c>
      <c r="Q15" s="29">
        <f t="shared" si="2"/>
        <v>750</v>
      </c>
    </row>
    <row r="16" spans="1:17" x14ac:dyDescent="0.25">
      <c r="A16" s="5" t="str">
        <f>Parameters!A22</f>
        <v>Nov</v>
      </c>
      <c r="B16" s="26">
        <f>Parameters!B22*Parameters!$C$8</f>
        <v>250</v>
      </c>
      <c r="C16" s="7">
        <f>B16*Parameters!$B$25</f>
        <v>250</v>
      </c>
      <c r="D16" s="5">
        <f>Parameters!C22*Parameters!$C$8</f>
        <v>250</v>
      </c>
      <c r="E16" s="7">
        <f>D16*Parameters!$C$25</f>
        <v>500</v>
      </c>
      <c r="F16" s="5">
        <f>Parameters!D22*Parameters!$C$8</f>
        <v>159.99999999999991</v>
      </c>
      <c r="G16" s="7">
        <f>F16*Parameters!$D$25</f>
        <v>479.99999999999977</v>
      </c>
      <c r="H16" s="5">
        <f>Parameters!E22*Parameters!$C$8</f>
        <v>340</v>
      </c>
      <c r="I16" s="7">
        <f>H16*Parameters!$E$25</f>
        <v>1360</v>
      </c>
      <c r="J16" s="28">
        <f t="shared" si="0"/>
        <v>999.99999999999989</v>
      </c>
      <c r="K16" s="29">
        <f t="shared" si="1"/>
        <v>2590</v>
      </c>
      <c r="M16" s="37">
        <f>B16*Parameters!$B$26</f>
        <v>125</v>
      </c>
      <c r="N16" s="7">
        <f>D16*Parameters!$C$26</f>
        <v>125</v>
      </c>
      <c r="O16" s="7">
        <f>F16*Parameters!$D$26</f>
        <v>159.99999999999991</v>
      </c>
      <c r="P16" s="7">
        <f>H16*Parameters!$E$26</f>
        <v>340</v>
      </c>
      <c r="Q16" s="29">
        <f t="shared" si="2"/>
        <v>749.99999999999989</v>
      </c>
    </row>
    <row r="17" spans="1:17" x14ac:dyDescent="0.25">
      <c r="A17" s="5" t="str">
        <f>Parameters!A23</f>
        <v>Dec</v>
      </c>
      <c r="B17" s="30">
        <f>Parameters!B23*Parameters!$C$8</f>
        <v>250</v>
      </c>
      <c r="C17" s="31">
        <f>B17*Parameters!$B$25</f>
        <v>250</v>
      </c>
      <c r="D17" s="32">
        <f>Parameters!C23*Parameters!$C$8</f>
        <v>250</v>
      </c>
      <c r="E17" s="31">
        <f>D17*Parameters!$C$25</f>
        <v>500</v>
      </c>
      <c r="F17" s="32">
        <f>Parameters!D23*Parameters!$C$8</f>
        <v>99.999999999999972</v>
      </c>
      <c r="G17" s="31">
        <f>F17*Parameters!$D$25</f>
        <v>299.99999999999989</v>
      </c>
      <c r="H17" s="32">
        <f>Parameters!E23*Parameters!$C$8</f>
        <v>400</v>
      </c>
      <c r="I17" s="31">
        <f>H17*Parameters!$E$25</f>
        <v>1600</v>
      </c>
      <c r="J17" s="33">
        <f t="shared" si="0"/>
        <v>1000</v>
      </c>
      <c r="K17" s="34">
        <f t="shared" si="1"/>
        <v>2650</v>
      </c>
      <c r="M17" s="38">
        <f>B17*Parameters!$B$26</f>
        <v>125</v>
      </c>
      <c r="N17" s="31">
        <f>D17*Parameters!$C$26</f>
        <v>125</v>
      </c>
      <c r="O17" s="31">
        <f>F17*Parameters!$D$26</f>
        <v>99.999999999999972</v>
      </c>
      <c r="P17" s="31">
        <f>H17*Parameters!$E$26</f>
        <v>400</v>
      </c>
      <c r="Q17" s="34">
        <f t="shared" si="2"/>
        <v>750</v>
      </c>
    </row>
    <row r="18" spans="1:17" x14ac:dyDescent="0.25">
      <c r="J18" s="41">
        <f>SUM(J6:J17)</f>
        <v>12000</v>
      </c>
    </row>
    <row r="19" spans="1:17" x14ac:dyDescent="0.25">
      <c r="I19" t="s">
        <v>70</v>
      </c>
      <c r="J19" s="42" t="str">
        <f>IF(J18=12000,"No. sold okay","No. sold incorrect")</f>
        <v>No. sold okay</v>
      </c>
    </row>
  </sheetData>
  <mergeCells count="5">
    <mergeCell ref="H4:I4"/>
    <mergeCell ref="F4:G4"/>
    <mergeCell ref="D4:E4"/>
    <mergeCell ref="B4:C4"/>
    <mergeCell ref="J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5"/>
  <sheetViews>
    <sheetView workbookViewId="0"/>
  </sheetViews>
  <sheetFormatPr defaultRowHeight="15" x14ac:dyDescent="0.25"/>
  <cols>
    <col min="1" max="1" width="4.85546875" customWidth="1"/>
    <col min="3" max="3" width="8.7109375" customWidth="1"/>
    <col min="4" max="4" width="2.7109375" customWidth="1"/>
    <col min="5" max="5" width="10" customWidth="1"/>
    <col min="6" max="6" width="10.85546875" customWidth="1"/>
    <col min="10" max="10" width="10.85546875" customWidth="1"/>
    <col min="12" max="13" width="12.140625" customWidth="1"/>
    <col min="15" max="15" width="10.7109375" customWidth="1"/>
    <col min="18" max="18" width="11.28515625" customWidth="1"/>
    <col min="20" max="20" width="12.140625" customWidth="1"/>
  </cols>
  <sheetData>
    <row r="1" spans="1:20" ht="18.75" x14ac:dyDescent="0.3">
      <c r="A1" s="10" t="s">
        <v>83</v>
      </c>
    </row>
    <row r="3" spans="1:20" x14ac:dyDescent="0.25">
      <c r="C3" t="s">
        <v>32</v>
      </c>
      <c r="E3" t="s">
        <v>33</v>
      </c>
      <c r="I3" t="s">
        <v>34</v>
      </c>
      <c r="R3" t="s">
        <v>68</v>
      </c>
    </row>
    <row r="4" spans="1:20" ht="75" x14ac:dyDescent="0.25">
      <c r="B4" s="5" t="s">
        <v>25</v>
      </c>
      <c r="C4" t="s">
        <v>27</v>
      </c>
      <c r="E4" s="12" t="s">
        <v>60</v>
      </c>
      <c r="F4" s="5" t="s">
        <v>0</v>
      </c>
      <c r="G4" s="5" t="s">
        <v>19</v>
      </c>
      <c r="I4" s="12" t="s">
        <v>35</v>
      </c>
      <c r="J4" s="12" t="s">
        <v>36</v>
      </c>
      <c r="K4" s="12" t="s">
        <v>56</v>
      </c>
      <c r="L4" s="12" t="s">
        <v>64</v>
      </c>
      <c r="M4" s="12" t="s">
        <v>65</v>
      </c>
      <c r="N4" s="12" t="s">
        <v>38</v>
      </c>
      <c r="O4" s="12" t="s">
        <v>37</v>
      </c>
      <c r="R4" s="19" t="s">
        <v>57</v>
      </c>
      <c r="S4" s="12" t="s">
        <v>58</v>
      </c>
      <c r="T4" s="19" t="s">
        <v>67</v>
      </c>
    </row>
    <row r="5" spans="1:20" x14ac:dyDescent="0.25">
      <c r="A5" s="5">
        <v>1</v>
      </c>
      <c r="B5" s="5" t="str">
        <f>Parameters!A12</f>
        <v>Jan</v>
      </c>
      <c r="C5" s="7">
        <f>Revenue!K6</f>
        <v>2650</v>
      </c>
      <c r="E5" s="7">
        <f>-Revenue!Q6</f>
        <v>-750</v>
      </c>
      <c r="F5" s="7">
        <f>IF(MOD(A5-1,3)=0,-Parameters!$C$4/4,0)</f>
        <v>-1250</v>
      </c>
      <c r="G5" s="7">
        <f>-Parameters!$C$6</f>
        <v>-1000</v>
      </c>
      <c r="I5" s="11">
        <f>F5+E5</f>
        <v>-2000</v>
      </c>
      <c r="J5" s="14">
        <f>I5</f>
        <v>-2000</v>
      </c>
      <c r="K5" s="15">
        <f>IF((J5)&lt;0,Parameters!$D$36,Parameters!$D$35)</f>
        <v>0.05</v>
      </c>
      <c r="L5" s="6">
        <f>(J5)*((1+K5)^(1/12)-1)</f>
        <v>-8.148247567296707</v>
      </c>
      <c r="M5" s="7">
        <f>IF(J5&lt;0,-Parameters!$D$37,0)</f>
        <v>-100</v>
      </c>
      <c r="N5" s="7">
        <f>C5+G5+M5</f>
        <v>1550</v>
      </c>
      <c r="O5" s="7">
        <f>J5+L5+N5</f>
        <v>-458.14824756729672</v>
      </c>
      <c r="R5" s="7">
        <f>SUM(C5:G5)</f>
        <v>-350</v>
      </c>
      <c r="S5" s="16">
        <f>(1+Parameters!$D$32)^((12-A5+0.5)/12)</f>
        <v>1.0956402792754834</v>
      </c>
      <c r="T5" s="7">
        <f>R5*S5</f>
        <v>-383.47409774641915</v>
      </c>
    </row>
    <row r="6" spans="1:20" x14ac:dyDescent="0.25">
      <c r="A6" s="5">
        <v>2</v>
      </c>
      <c r="B6" s="5" t="str">
        <f>Parameters!A13</f>
        <v>Feb</v>
      </c>
      <c r="C6" s="7">
        <f>Revenue!K7</f>
        <v>2590</v>
      </c>
      <c r="E6" s="7">
        <f>-Revenue!Q7</f>
        <v>-749.99999999999989</v>
      </c>
      <c r="F6" s="7">
        <f>IF(MOD(A6-1,3)=0,-Parameters!$C$4/4,0)</f>
        <v>0</v>
      </c>
      <c r="G6" s="7">
        <f>-Parameters!$C$6</f>
        <v>-1000</v>
      </c>
      <c r="I6" s="11">
        <f t="shared" ref="I6:I16" si="0">F6+E6</f>
        <v>-749.99999999999989</v>
      </c>
      <c r="J6" s="7">
        <f>O5+I6</f>
        <v>-1208.1482475672965</v>
      </c>
      <c r="K6" s="15">
        <f>IF((J6)&lt;0,Parameters!$D$36,Parameters!$D$35)</f>
        <v>0.05</v>
      </c>
      <c r="L6" s="6">
        <f t="shared" ref="L6:L16" si="1">(J6)*((1+K6)^(1/12)-1)</f>
        <v>-4.9221455095870015</v>
      </c>
      <c r="M6" s="7">
        <f>IF(J6&lt;0,-Parameters!$D$37,0)</f>
        <v>-100</v>
      </c>
      <c r="N6" s="7">
        <f t="shared" ref="N6:N16" si="2">C6+G6+M6</f>
        <v>1490</v>
      </c>
      <c r="O6" s="7">
        <f t="shared" ref="O6:O16" si="3">J6+L6+N6</f>
        <v>276.92960692311658</v>
      </c>
      <c r="R6" s="7">
        <f t="shared" ref="R6:R16" si="4">SUM(C6:G6)</f>
        <v>840</v>
      </c>
      <c r="S6" s="16">
        <f>(1+Parameters!$D$32)^((12-A6+0.5)/12)</f>
        <v>1.0869726070643804</v>
      </c>
      <c r="T6" s="7">
        <f t="shared" ref="T6:T16" si="5">R6*S6</f>
        <v>913.05698993407952</v>
      </c>
    </row>
    <row r="7" spans="1:20" x14ac:dyDescent="0.25">
      <c r="A7" s="5">
        <v>3</v>
      </c>
      <c r="B7" s="5" t="str">
        <f>Parameters!A14</f>
        <v>Mar</v>
      </c>
      <c r="C7" s="7">
        <f>Revenue!K8</f>
        <v>2530</v>
      </c>
      <c r="E7" s="7">
        <f>-Revenue!Q8</f>
        <v>-750</v>
      </c>
      <c r="F7" s="7">
        <f>IF(MOD(A7-1,3)=0,-Parameters!$C$4/4,0)</f>
        <v>0</v>
      </c>
      <c r="G7" s="7">
        <f>-Parameters!$C$6</f>
        <v>-1000</v>
      </c>
      <c r="I7" s="11">
        <f t="shared" si="0"/>
        <v>-750</v>
      </c>
      <c r="J7" s="7">
        <f t="shared" ref="J7:J16" si="6">O6+I7</f>
        <v>-473.07039307688342</v>
      </c>
      <c r="K7" s="15">
        <f>IF((J7)&lt;0,Parameters!$D$36,Parameters!$D$35)</f>
        <v>0.05</v>
      </c>
      <c r="L7" s="6">
        <f t="shared" si="1"/>
        <v>-1.9273473397744061</v>
      </c>
      <c r="M7" s="7">
        <f>IF(J7&lt;0,-Parameters!$D$37,0)</f>
        <v>-100</v>
      </c>
      <c r="N7" s="7">
        <f t="shared" si="2"/>
        <v>1430</v>
      </c>
      <c r="O7" s="7">
        <f t="shared" si="3"/>
        <v>955.00225958334215</v>
      </c>
      <c r="R7" s="7">
        <f t="shared" si="4"/>
        <v>780</v>
      </c>
      <c r="S7" s="16">
        <f>(1+Parameters!$D$32)^((12-A7+0.5)/12)</f>
        <v>1.0783735052983223</v>
      </c>
      <c r="T7" s="7">
        <f t="shared" si="5"/>
        <v>841.13133413269145</v>
      </c>
    </row>
    <row r="8" spans="1:20" x14ac:dyDescent="0.25">
      <c r="A8" s="5">
        <v>4</v>
      </c>
      <c r="B8" s="5" t="str">
        <f>Parameters!A15</f>
        <v>Apr</v>
      </c>
      <c r="C8" s="7">
        <f>Revenue!K9</f>
        <v>2470</v>
      </c>
      <c r="E8" s="7">
        <f>-Revenue!Q9</f>
        <v>-750</v>
      </c>
      <c r="F8" s="7">
        <f>IF(MOD(A8-1,3)=0,-Parameters!$C$4/4,0)</f>
        <v>-1250</v>
      </c>
      <c r="G8" s="7">
        <f>-Parameters!$C$6</f>
        <v>-1000</v>
      </c>
      <c r="I8" s="11">
        <f t="shared" si="0"/>
        <v>-2000</v>
      </c>
      <c r="J8" s="7">
        <f t="shared" si="6"/>
        <v>-1044.997740416658</v>
      </c>
      <c r="K8" s="15">
        <f>IF((J8)&lt;0,Parameters!$D$36,Parameters!$D$35)</f>
        <v>0.05</v>
      </c>
      <c r="L8" s="6">
        <f t="shared" si="1"/>
        <v>-4.2574501480902942</v>
      </c>
      <c r="M8" s="7">
        <f>IF(J8&lt;0,-Parameters!$D$37,0)</f>
        <v>-100</v>
      </c>
      <c r="N8" s="7">
        <f t="shared" si="2"/>
        <v>1370</v>
      </c>
      <c r="O8" s="7">
        <f t="shared" si="3"/>
        <v>320.74480943525168</v>
      </c>
      <c r="R8" s="7">
        <f t="shared" si="4"/>
        <v>-530</v>
      </c>
      <c r="S8" s="16">
        <f>(1+Parameters!$D$32)^((12-A8+0.5)/12)</f>
        <v>1.0698424315126407</v>
      </c>
      <c r="T8" s="7">
        <f t="shared" si="5"/>
        <v>-567.01648870169959</v>
      </c>
    </row>
    <row r="9" spans="1:20" x14ac:dyDescent="0.25">
      <c r="A9" s="5">
        <v>5</v>
      </c>
      <c r="B9" s="5" t="str">
        <f>Parameters!A16</f>
        <v>May</v>
      </c>
      <c r="C9" s="7">
        <f>Revenue!K10</f>
        <v>2410</v>
      </c>
      <c r="E9" s="7">
        <f>-Revenue!Q10</f>
        <v>-750</v>
      </c>
      <c r="F9" s="7">
        <f>IF(MOD(A9-1,3)=0,-Parameters!$C$4/4,0)</f>
        <v>0</v>
      </c>
      <c r="G9" s="7">
        <f>-Parameters!$C$6</f>
        <v>-1000</v>
      </c>
      <c r="I9" s="11">
        <f t="shared" si="0"/>
        <v>-750</v>
      </c>
      <c r="J9" s="7">
        <f t="shared" si="6"/>
        <v>-429.25519056474832</v>
      </c>
      <c r="K9" s="15">
        <f>IF((J9)&lt;0,Parameters!$D$36,Parameters!$D$35)</f>
        <v>0.05</v>
      </c>
      <c r="L9" s="6">
        <f t="shared" si="1"/>
        <v>-1.7488387811343473</v>
      </c>
      <c r="M9" s="7">
        <f>IF(J9&lt;0,-Parameters!$D$37,0)</f>
        <v>-100</v>
      </c>
      <c r="N9" s="7">
        <f t="shared" si="2"/>
        <v>1310</v>
      </c>
      <c r="O9" s="7">
        <f t="shared" si="3"/>
        <v>878.9959706541174</v>
      </c>
      <c r="R9" s="7">
        <f t="shared" si="4"/>
        <v>660</v>
      </c>
      <c r="S9" s="16">
        <f>(1+Parameters!$D$32)^((12-A9+0.5)/12)</f>
        <v>1.0613788475341355</v>
      </c>
      <c r="T9" s="7">
        <f t="shared" si="5"/>
        <v>700.51003937252938</v>
      </c>
    </row>
    <row r="10" spans="1:20" x14ac:dyDescent="0.25">
      <c r="A10" s="5">
        <v>6</v>
      </c>
      <c r="B10" s="5" t="str">
        <f>Parameters!A17</f>
        <v>Jun</v>
      </c>
      <c r="C10" s="7">
        <f>Revenue!K11</f>
        <v>2350</v>
      </c>
      <c r="E10" s="7">
        <f>-Revenue!Q11</f>
        <v>-750</v>
      </c>
      <c r="F10" s="7">
        <f>IF(MOD(A10-1,3)=0,-Parameters!$C$4/4,0)</f>
        <v>0</v>
      </c>
      <c r="G10" s="7">
        <f>-Parameters!$C$6</f>
        <v>-1000</v>
      </c>
      <c r="I10" s="11">
        <f t="shared" si="0"/>
        <v>-750</v>
      </c>
      <c r="J10" s="7">
        <f t="shared" si="6"/>
        <v>128.9959706541174</v>
      </c>
      <c r="K10" s="15">
        <f>IF((J10)&lt;0,Parameters!$D$36,Parameters!$D$35)</f>
        <v>0.03</v>
      </c>
      <c r="L10" s="6">
        <f t="shared" si="1"/>
        <v>0.31813886317322315</v>
      </c>
      <c r="M10" s="7">
        <f>IF(J10&lt;0,-Parameters!$D$37,0)</f>
        <v>0</v>
      </c>
      <c r="N10" s="7">
        <f t="shared" si="2"/>
        <v>1350</v>
      </c>
      <c r="O10" s="7">
        <f t="shared" si="3"/>
        <v>1479.3141095172907</v>
      </c>
      <c r="R10" s="7">
        <f t="shared" si="4"/>
        <v>600</v>
      </c>
      <c r="S10" s="16">
        <f>(1+Parameters!$D$32)^((12-A10+0.5)/12)</f>
        <v>1.0529822194471254</v>
      </c>
      <c r="T10" s="7">
        <f t="shared" si="5"/>
        <v>631.78933166827528</v>
      </c>
    </row>
    <row r="11" spans="1:20" x14ac:dyDescent="0.25">
      <c r="A11" s="5">
        <v>7</v>
      </c>
      <c r="B11" s="5" t="str">
        <f>Parameters!A18</f>
        <v>Jul</v>
      </c>
      <c r="C11" s="7">
        <f>Revenue!K12</f>
        <v>2350</v>
      </c>
      <c r="E11" s="7">
        <f>-Revenue!Q12</f>
        <v>-750</v>
      </c>
      <c r="F11" s="7">
        <f>IF(MOD(A11-1,3)=0,-Parameters!$C$4/4,0)</f>
        <v>-1250</v>
      </c>
      <c r="G11" s="7">
        <f>-Parameters!$C$6</f>
        <v>-1000</v>
      </c>
      <c r="I11" s="11">
        <f t="shared" si="0"/>
        <v>-2000</v>
      </c>
      <c r="J11" s="7">
        <f t="shared" si="6"/>
        <v>-520.68589048270928</v>
      </c>
      <c r="K11" s="15">
        <f>IF((J11)&lt;0,Parameters!$D$36,Parameters!$D$35)</f>
        <v>0.05</v>
      </c>
      <c r="L11" s="6">
        <f t="shared" si="1"/>
        <v>-2.1213387702257278</v>
      </c>
      <c r="M11" s="7">
        <f>IF(J11&lt;0,-Parameters!$D$37,0)</f>
        <v>-100</v>
      </c>
      <c r="N11" s="7">
        <f t="shared" si="2"/>
        <v>1250</v>
      </c>
      <c r="O11" s="7">
        <f t="shared" si="3"/>
        <v>727.19277074706497</v>
      </c>
      <c r="R11" s="7">
        <f t="shared" si="4"/>
        <v>-650</v>
      </c>
      <c r="S11" s="16">
        <f>(1+Parameters!$D$32)^((12-A11+0.5)/12)</f>
        <v>1.0446520175597662</v>
      </c>
      <c r="T11" s="7">
        <f t="shared" si="5"/>
        <v>-679.02381141384808</v>
      </c>
    </row>
    <row r="12" spans="1:20" x14ac:dyDescent="0.25">
      <c r="A12" s="5">
        <v>8</v>
      </c>
      <c r="B12" s="5" t="str">
        <f>Parameters!A19</f>
        <v>Aug</v>
      </c>
      <c r="C12" s="7">
        <f>Revenue!K13</f>
        <v>2410</v>
      </c>
      <c r="E12" s="7">
        <f>-Revenue!Q13</f>
        <v>-750</v>
      </c>
      <c r="F12" s="7">
        <f>IF(MOD(A12-1,3)=0,-Parameters!$C$4/4,0)</f>
        <v>0</v>
      </c>
      <c r="G12" s="7">
        <f>-Parameters!$C$6</f>
        <v>-1000</v>
      </c>
      <c r="I12" s="11">
        <f t="shared" si="0"/>
        <v>-750</v>
      </c>
      <c r="J12" s="7">
        <f t="shared" si="6"/>
        <v>-22.807229252935031</v>
      </c>
      <c r="K12" s="15">
        <f>IF((J12)&lt;0,Parameters!$D$36,Parameters!$D$35)</f>
        <v>0.05</v>
      </c>
      <c r="L12" s="6">
        <f t="shared" si="1"/>
        <v>-9.2919475138503071E-2</v>
      </c>
      <c r="M12" s="7">
        <f>IF(J12&lt;0,-Parameters!$D$37,0)</f>
        <v>-100</v>
      </c>
      <c r="N12" s="7">
        <f t="shared" si="2"/>
        <v>1310</v>
      </c>
      <c r="O12" s="7">
        <f t="shared" si="3"/>
        <v>1287.0998512719264</v>
      </c>
      <c r="R12" s="7">
        <f t="shared" si="4"/>
        <v>660</v>
      </c>
      <c r="S12" s="16">
        <f>(1+Parameters!$D$32)^((12-A12+0.5)/12)</f>
        <v>1.0363877163706359</v>
      </c>
      <c r="T12" s="7">
        <f t="shared" si="5"/>
        <v>684.01589280461963</v>
      </c>
    </row>
    <row r="13" spans="1:20" x14ac:dyDescent="0.25">
      <c r="A13" s="5">
        <v>9</v>
      </c>
      <c r="B13" s="5" t="str">
        <f>Parameters!A20</f>
        <v>Sep</v>
      </c>
      <c r="C13" s="7">
        <f>Revenue!K14</f>
        <v>2470</v>
      </c>
      <c r="E13" s="7">
        <f>-Revenue!Q14</f>
        <v>-750</v>
      </c>
      <c r="F13" s="7">
        <f>IF(MOD(A13-1,3)=0,-Parameters!$C$4/4,0)</f>
        <v>0</v>
      </c>
      <c r="G13" s="7">
        <f>-Parameters!$C$6</f>
        <v>-1000</v>
      </c>
      <c r="I13" s="11">
        <f t="shared" si="0"/>
        <v>-750</v>
      </c>
      <c r="J13" s="7">
        <f t="shared" si="6"/>
        <v>537.09985127192635</v>
      </c>
      <c r="K13" s="15">
        <f>IF((J13)&lt;0,Parameters!$D$36,Parameters!$D$35)</f>
        <v>0.03</v>
      </c>
      <c r="L13" s="6">
        <f t="shared" si="1"/>
        <v>1.3246331279007577</v>
      </c>
      <c r="M13" s="7">
        <f>IF(J13&lt;0,-Parameters!$D$37,0)</f>
        <v>0</v>
      </c>
      <c r="N13" s="7">
        <f t="shared" si="2"/>
        <v>1470</v>
      </c>
      <c r="O13" s="7">
        <f t="shared" si="3"/>
        <v>2008.4244843998272</v>
      </c>
      <c r="R13" s="7">
        <f t="shared" si="4"/>
        <v>720</v>
      </c>
      <c r="S13" s="16">
        <f>(1+Parameters!$D$32)^((12-A13+0.5)/12)</f>
        <v>1.0281887945355839</v>
      </c>
      <c r="T13" s="7">
        <f t="shared" si="5"/>
        <v>740.29593206562038</v>
      </c>
    </row>
    <row r="14" spans="1:20" x14ac:dyDescent="0.25">
      <c r="A14" s="5">
        <v>10</v>
      </c>
      <c r="B14" s="5" t="str">
        <f>Parameters!A21</f>
        <v>Oct</v>
      </c>
      <c r="C14" s="7">
        <f>Revenue!K15</f>
        <v>2530</v>
      </c>
      <c r="E14" s="7">
        <f>-Revenue!Q15</f>
        <v>-750</v>
      </c>
      <c r="F14" s="7">
        <f>IF(MOD(A14-1,3)=0,-Parameters!$C$4/4,0)</f>
        <v>-1250</v>
      </c>
      <c r="G14" s="7">
        <f>-Parameters!$C$6</f>
        <v>-1000</v>
      </c>
      <c r="I14" s="11">
        <f t="shared" si="0"/>
        <v>-2000</v>
      </c>
      <c r="J14" s="7">
        <f t="shared" si="6"/>
        <v>8.424484399827179</v>
      </c>
      <c r="K14" s="15">
        <f>IF((J14)&lt;0,Parameters!$D$36,Parameters!$D$35)</f>
        <v>0.03</v>
      </c>
      <c r="L14" s="6">
        <f t="shared" si="1"/>
        <v>2.0777051222537736E-2</v>
      </c>
      <c r="M14" s="7">
        <f>IF(J14&lt;0,-Parameters!$D$37,0)</f>
        <v>0</v>
      </c>
      <c r="N14" s="7">
        <f t="shared" si="2"/>
        <v>1530</v>
      </c>
      <c r="O14" s="7">
        <f t="shared" si="3"/>
        <v>1538.4452614510496</v>
      </c>
      <c r="R14" s="7">
        <f t="shared" si="4"/>
        <v>-470</v>
      </c>
      <c r="S14" s="16">
        <f>(1+Parameters!$D$32)^((12-A14+0.5)/12)</f>
        <v>1.0200547348348428</v>
      </c>
      <c r="T14" s="7">
        <f t="shared" si="5"/>
        <v>-479.42572537237612</v>
      </c>
    </row>
    <row r="15" spans="1:20" x14ac:dyDescent="0.25">
      <c r="A15" s="5">
        <v>11</v>
      </c>
      <c r="B15" s="5" t="str">
        <f>Parameters!A22</f>
        <v>Nov</v>
      </c>
      <c r="C15" s="7">
        <f>Revenue!K16</f>
        <v>2590</v>
      </c>
      <c r="E15" s="7">
        <f>-Revenue!Q16</f>
        <v>-749.99999999999989</v>
      </c>
      <c r="F15" s="7">
        <f>IF(MOD(A15-1,3)=0,-Parameters!$C$4/4,0)</f>
        <v>0</v>
      </c>
      <c r="G15" s="7">
        <f>-Parameters!$C$6</f>
        <v>-1000</v>
      </c>
      <c r="I15" s="11">
        <f t="shared" si="0"/>
        <v>-749.99999999999989</v>
      </c>
      <c r="J15" s="7">
        <f t="shared" si="6"/>
        <v>788.44526145104976</v>
      </c>
      <c r="K15" s="15">
        <f>IF((J15)&lt;0,Parameters!$D$36,Parameters!$D$35)</f>
        <v>0.03</v>
      </c>
      <c r="L15" s="6">
        <f t="shared" si="1"/>
        <v>1.944518715432801</v>
      </c>
      <c r="M15" s="7">
        <f>IF(J15&lt;0,-Parameters!$D$37,0)</f>
        <v>0</v>
      </c>
      <c r="N15" s="7">
        <f t="shared" si="2"/>
        <v>1590</v>
      </c>
      <c r="O15" s="7">
        <f t="shared" si="3"/>
        <v>2380.3897801664825</v>
      </c>
      <c r="R15" s="7">
        <f t="shared" si="4"/>
        <v>840</v>
      </c>
      <c r="S15" s="16">
        <f>(1+Parameters!$D$32)^((12-A15+0.5)/12)</f>
        <v>1.0119850241403996</v>
      </c>
      <c r="T15" s="7">
        <f t="shared" si="5"/>
        <v>850.06742027793564</v>
      </c>
    </row>
    <row r="16" spans="1:20" x14ac:dyDescent="0.25">
      <c r="A16" s="5">
        <v>12</v>
      </c>
      <c r="B16" s="5" t="str">
        <f>Parameters!A23</f>
        <v>Dec</v>
      </c>
      <c r="C16" s="7">
        <f>Revenue!K17</f>
        <v>2650</v>
      </c>
      <c r="E16" s="7">
        <f>-Revenue!Q17</f>
        <v>-750</v>
      </c>
      <c r="F16" s="7">
        <f>IF(MOD(A16-1,3)=0,-Parameters!$C$4/4,0)</f>
        <v>0</v>
      </c>
      <c r="G16" s="7">
        <f>-Parameters!$C$6</f>
        <v>-1000</v>
      </c>
      <c r="I16" s="11">
        <f t="shared" si="0"/>
        <v>-750</v>
      </c>
      <c r="J16" s="7">
        <f t="shared" si="6"/>
        <v>1630.3897801664825</v>
      </c>
      <c r="K16" s="15">
        <f>IF((J16)&lt;0,Parameters!$D$36,Parameters!$D$35)</f>
        <v>0.03</v>
      </c>
      <c r="L16" s="6">
        <f t="shared" si="1"/>
        <v>4.0209810318974482</v>
      </c>
      <c r="M16" s="7">
        <f>IF(J16&lt;0,-Parameters!$D$37,0)</f>
        <v>0</v>
      </c>
      <c r="N16" s="7">
        <f t="shared" si="2"/>
        <v>1650</v>
      </c>
      <c r="O16" s="7">
        <f t="shared" si="3"/>
        <v>3284.41076119838</v>
      </c>
      <c r="R16" s="7">
        <f t="shared" si="4"/>
        <v>900</v>
      </c>
      <c r="S16" s="16">
        <f>(1+Parameters!$D$32)^((12-A16+0.5)/12)</f>
        <v>1.0039791533836266</v>
      </c>
      <c r="T16" s="7">
        <f t="shared" si="5"/>
        <v>903.58123804526394</v>
      </c>
    </row>
    <row r="17" spans="1:21" ht="15.75" thickBot="1" x14ac:dyDescent="0.3">
      <c r="A17" s="5">
        <v>13</v>
      </c>
      <c r="G17" s="18">
        <f>SUM(G5:G16)</f>
        <v>-12000</v>
      </c>
      <c r="L17" s="44">
        <f>SUM(L5:L16)</f>
        <v>-15.589238801620219</v>
      </c>
      <c r="M17" s="44">
        <f>SUM(M5:M16)</f>
        <v>-700</v>
      </c>
      <c r="R17" s="5"/>
      <c r="S17" s="5"/>
      <c r="T17" s="18">
        <f>SUM(T5:T16)</f>
        <v>4155.5080550666717</v>
      </c>
      <c r="U17" s="1" t="s">
        <v>59</v>
      </c>
    </row>
    <row r="18" spans="1:21" ht="15.75" thickTop="1" x14ac:dyDescent="0.25"/>
    <row r="20" spans="1:21" x14ac:dyDescent="0.25">
      <c r="A20" s="9" t="s">
        <v>47</v>
      </c>
      <c r="H20" s="5" t="s">
        <v>42</v>
      </c>
      <c r="I20" s="5" t="s">
        <v>43</v>
      </c>
    </row>
    <row r="21" spans="1:21" x14ac:dyDescent="0.25">
      <c r="A21" t="s">
        <v>41</v>
      </c>
      <c r="G21" s="7">
        <f>-G17</f>
        <v>12000</v>
      </c>
      <c r="H21" s="3">
        <f>Parameters!$D$30</f>
        <v>0.25</v>
      </c>
      <c r="I21" s="7">
        <f>G21*H21</f>
        <v>3000</v>
      </c>
    </row>
    <row r="22" spans="1:21" x14ac:dyDescent="0.25">
      <c r="A22" t="s">
        <v>66</v>
      </c>
      <c r="G22" s="7">
        <f>T17</f>
        <v>4155.5080550666717</v>
      </c>
      <c r="H22" s="3">
        <f>Parameters!$D$31</f>
        <v>0.4</v>
      </c>
      <c r="I22" s="7">
        <f>G22*H22</f>
        <v>1662.2032220266688</v>
      </c>
    </row>
    <row r="23" spans="1:21" ht="15.75" thickBot="1" x14ac:dyDescent="0.3">
      <c r="A23" t="s">
        <v>44</v>
      </c>
      <c r="I23" s="18">
        <f>I21+I22</f>
        <v>4662.2032220266683</v>
      </c>
    </row>
    <row r="24" spans="1:21" ht="15.75" thickTop="1" x14ac:dyDescent="0.25"/>
    <row r="25" spans="1:21" x14ac:dyDescent="0.25">
      <c r="A25" t="s">
        <v>72</v>
      </c>
      <c r="C25" s="43">
        <f>M17+L17</f>
        <v>-715.58923880162024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1"/>
  <sheetViews>
    <sheetView workbookViewId="0"/>
  </sheetViews>
  <sheetFormatPr defaultRowHeight="15" x14ac:dyDescent="0.25"/>
  <cols>
    <col min="1" max="1" width="4.85546875" customWidth="1"/>
    <col min="3" max="3" width="8.7109375" customWidth="1"/>
    <col min="4" max="4" width="2.7109375" customWidth="1"/>
    <col min="5" max="5" width="10" customWidth="1"/>
    <col min="6" max="6" width="10.85546875" customWidth="1"/>
    <col min="10" max="10" width="10.85546875" customWidth="1"/>
    <col min="12" max="13" width="12.140625" customWidth="1"/>
    <col min="15" max="15" width="10.7109375" customWidth="1"/>
    <col min="18" max="18" width="11.28515625" customWidth="1"/>
    <col min="20" max="20" width="12.140625" customWidth="1"/>
  </cols>
  <sheetData>
    <row r="1" spans="1:20" ht="18.75" x14ac:dyDescent="0.3">
      <c r="A1" s="10" t="s">
        <v>82</v>
      </c>
    </row>
    <row r="3" spans="1:20" x14ac:dyDescent="0.25">
      <c r="C3" t="s">
        <v>32</v>
      </c>
      <c r="E3" t="s">
        <v>33</v>
      </c>
      <c r="I3" t="s">
        <v>34</v>
      </c>
      <c r="R3" t="s">
        <v>68</v>
      </c>
    </row>
    <row r="4" spans="1:20" ht="75" x14ac:dyDescent="0.25">
      <c r="B4" s="5" t="s">
        <v>25</v>
      </c>
      <c r="C4" t="s">
        <v>27</v>
      </c>
      <c r="E4" s="12" t="s">
        <v>60</v>
      </c>
      <c r="F4" s="5" t="s">
        <v>0</v>
      </c>
      <c r="G4" s="5" t="s">
        <v>19</v>
      </c>
      <c r="I4" s="12" t="s">
        <v>35</v>
      </c>
      <c r="J4" s="12" t="s">
        <v>36</v>
      </c>
      <c r="K4" s="12" t="s">
        <v>56</v>
      </c>
      <c r="L4" s="12" t="s">
        <v>64</v>
      </c>
      <c r="M4" s="12" t="s">
        <v>65</v>
      </c>
      <c r="N4" s="12" t="s">
        <v>38</v>
      </c>
      <c r="O4" s="12" t="s">
        <v>37</v>
      </c>
      <c r="R4" s="19" t="s">
        <v>57</v>
      </c>
      <c r="S4" s="12" t="s">
        <v>58</v>
      </c>
      <c r="T4" s="19" t="s">
        <v>67</v>
      </c>
    </row>
    <row r="5" spans="1:20" x14ac:dyDescent="0.25">
      <c r="A5" s="5">
        <v>1</v>
      </c>
      <c r="B5" s="5" t="str">
        <f>Parameters!A12</f>
        <v>Jan</v>
      </c>
      <c r="C5" s="7">
        <f>Revenue!K6</f>
        <v>2650</v>
      </c>
      <c r="E5" s="7">
        <f>-Revenue!Q6</f>
        <v>-750</v>
      </c>
      <c r="F5" s="7">
        <f>IF(MOD(A5-1,3)=0,-Parameters!$C$4/4,0)</f>
        <v>-1250</v>
      </c>
      <c r="G5" s="13">
        <f>-$I$29</f>
        <v>-893.32</v>
      </c>
      <c r="I5" s="11">
        <f>F5+E5</f>
        <v>-2000</v>
      </c>
      <c r="J5" s="14">
        <f>I5</f>
        <v>-2000</v>
      </c>
      <c r="K5" s="15">
        <f>IF((J5)&lt;0,Parameters!$D$36,Parameters!$D$35)</f>
        <v>0.05</v>
      </c>
      <c r="L5" s="6">
        <f>(J5)*((1+K5)^(1/12)-1)</f>
        <v>-8.148247567296707</v>
      </c>
      <c r="M5" s="7">
        <f>IF(J5&lt;0,-Parameters!$D$37,0)</f>
        <v>-100</v>
      </c>
      <c r="N5" s="7">
        <f>C5+G5+M5</f>
        <v>1656.6799999999998</v>
      </c>
      <c r="O5" s="7">
        <f>J5+L5+N5</f>
        <v>-351.46824756729688</v>
      </c>
      <c r="R5" s="7">
        <f t="shared" ref="R5:R16" si="0">SUM(C5:G5)</f>
        <v>-243.32000000000005</v>
      </c>
      <c r="S5" s="16">
        <f>(1+Parameters!$D$32)^((12-A5+0.5)/12)</f>
        <v>1.0956402792754834</v>
      </c>
      <c r="T5" s="7">
        <f>R5*S5</f>
        <v>-266.59119275331068</v>
      </c>
    </row>
    <row r="6" spans="1:20" x14ac:dyDescent="0.25">
      <c r="A6" s="5">
        <v>2</v>
      </c>
      <c r="B6" s="5" t="str">
        <f>Parameters!A13</f>
        <v>Feb</v>
      </c>
      <c r="C6" s="7">
        <f>Revenue!K7</f>
        <v>2590</v>
      </c>
      <c r="E6" s="7">
        <f>-Revenue!Q7</f>
        <v>-749.99999999999989</v>
      </c>
      <c r="F6" s="7">
        <f>IF(MOD(A6-1,3)=0,-Parameters!$C$4/4,0)</f>
        <v>0</v>
      </c>
      <c r="G6" s="13">
        <f t="shared" ref="G6:G16" si="1">-$I$29</f>
        <v>-893.32</v>
      </c>
      <c r="I6" s="11">
        <f t="shared" ref="I6:I16" si="2">F6+E6</f>
        <v>-749.99999999999989</v>
      </c>
      <c r="J6" s="7">
        <f>O5+I6</f>
        <v>-1101.4682475672967</v>
      </c>
      <c r="K6" s="15">
        <f>IF((J6)&lt;0,Parameters!$D$36,Parameters!$D$35)</f>
        <v>0.05</v>
      </c>
      <c r="L6" s="6">
        <f t="shared" ref="L6:L16" si="3">(J6)*((1+K6)^(1/12)-1)</f>
        <v>-4.487517984347396</v>
      </c>
      <c r="M6" s="7">
        <f>IF(J6&lt;0,-Parameters!$D$37,0)</f>
        <v>-100</v>
      </c>
      <c r="N6" s="7">
        <f t="shared" ref="N6:N16" si="4">C6+G6+M6</f>
        <v>1596.6799999999998</v>
      </c>
      <c r="O6" s="7">
        <f t="shared" ref="O6:O16" si="5">J6+L6+N6</f>
        <v>490.72423444835567</v>
      </c>
      <c r="R6" s="7">
        <f t="shared" si="0"/>
        <v>946.68</v>
      </c>
      <c r="S6" s="16">
        <f>(1+Parameters!$D$32)^((12-A6+0.5)/12)</f>
        <v>1.0869726070643804</v>
      </c>
      <c r="T6" s="7">
        <f t="shared" ref="T6:T16" si="6">R6*S6</f>
        <v>1029.0152276557076</v>
      </c>
    </row>
    <row r="7" spans="1:20" x14ac:dyDescent="0.25">
      <c r="A7" s="5">
        <v>3</v>
      </c>
      <c r="B7" s="5" t="str">
        <f>Parameters!A14</f>
        <v>Mar</v>
      </c>
      <c r="C7" s="7">
        <f>Revenue!K8</f>
        <v>2530</v>
      </c>
      <c r="E7" s="7">
        <f>-Revenue!Q8</f>
        <v>-750</v>
      </c>
      <c r="F7" s="7">
        <f>IF(MOD(A7-1,3)=0,-Parameters!$C$4/4,0)</f>
        <v>0</v>
      </c>
      <c r="G7" s="13">
        <f t="shared" si="1"/>
        <v>-893.32</v>
      </c>
      <c r="I7" s="11">
        <f t="shared" si="2"/>
        <v>-750</v>
      </c>
      <c r="J7" s="7">
        <f t="shared" ref="J7:J16" si="7">O6+I7</f>
        <v>-259.27576555164433</v>
      </c>
      <c r="K7" s="15">
        <f>IF((J7)&lt;0,Parameters!$D$36,Parameters!$D$35)</f>
        <v>0.05</v>
      </c>
      <c r="L7" s="6">
        <f t="shared" si="3"/>
        <v>-1.0563215629575886</v>
      </c>
      <c r="M7" s="7">
        <f>IF(J7&lt;0,-Parameters!$D$37,0)</f>
        <v>-100</v>
      </c>
      <c r="N7" s="7">
        <f t="shared" si="4"/>
        <v>1536.6799999999998</v>
      </c>
      <c r="O7" s="7">
        <f t="shared" si="5"/>
        <v>1276.3479128853978</v>
      </c>
      <c r="R7" s="7">
        <f t="shared" si="0"/>
        <v>886.68</v>
      </c>
      <c r="S7" s="16">
        <f>(1+Parameters!$D$32)^((12-A7+0.5)/12)</f>
        <v>1.0783735052983223</v>
      </c>
      <c r="T7" s="7">
        <f t="shared" si="6"/>
        <v>956.17221967791636</v>
      </c>
    </row>
    <row r="8" spans="1:20" x14ac:dyDescent="0.25">
      <c r="A8" s="5">
        <v>4</v>
      </c>
      <c r="B8" s="5" t="str">
        <f>Parameters!A15</f>
        <v>Apr</v>
      </c>
      <c r="C8" s="7">
        <f>Revenue!K9</f>
        <v>2470</v>
      </c>
      <c r="E8" s="7">
        <f>-Revenue!Q9</f>
        <v>-750</v>
      </c>
      <c r="F8" s="7">
        <f>IF(MOD(A8-1,3)=0,-Parameters!$C$4/4,0)</f>
        <v>-1250</v>
      </c>
      <c r="G8" s="13">
        <f t="shared" si="1"/>
        <v>-893.32</v>
      </c>
      <c r="I8" s="11">
        <f t="shared" si="2"/>
        <v>-2000</v>
      </c>
      <c r="J8" s="7">
        <f t="shared" si="7"/>
        <v>-723.65208711460218</v>
      </c>
      <c r="K8" s="15">
        <f>IF((J8)&lt;0,Parameters!$D$36,Parameters!$D$35)</f>
        <v>0.05</v>
      </c>
      <c r="L8" s="6">
        <f t="shared" si="3"/>
        <v>-2.948248179200371</v>
      </c>
      <c r="M8" s="7">
        <f>IF(J8&lt;0,-Parameters!$D$37,0)</f>
        <v>-100</v>
      </c>
      <c r="N8" s="7">
        <f t="shared" si="4"/>
        <v>1476.6799999999998</v>
      </c>
      <c r="O8" s="7">
        <f t="shared" si="5"/>
        <v>750.07966470619726</v>
      </c>
      <c r="R8" s="7">
        <f t="shared" si="0"/>
        <v>-423.32000000000005</v>
      </c>
      <c r="S8" s="16">
        <f>(1+Parameters!$D$32)^((12-A8+0.5)/12)</f>
        <v>1.0698424315126407</v>
      </c>
      <c r="T8" s="7">
        <f t="shared" si="6"/>
        <v>-452.88569810793109</v>
      </c>
    </row>
    <row r="9" spans="1:20" x14ac:dyDescent="0.25">
      <c r="A9" s="5">
        <v>5</v>
      </c>
      <c r="B9" s="5" t="str">
        <f>Parameters!A16</f>
        <v>May</v>
      </c>
      <c r="C9" s="7">
        <f>Revenue!K10</f>
        <v>2410</v>
      </c>
      <c r="E9" s="7">
        <f>-Revenue!Q10</f>
        <v>-750</v>
      </c>
      <c r="F9" s="7">
        <f>IF(MOD(A9-1,3)=0,-Parameters!$C$4/4,0)</f>
        <v>0</v>
      </c>
      <c r="G9" s="13">
        <f t="shared" si="1"/>
        <v>-893.32</v>
      </c>
      <c r="I9" s="11">
        <f t="shared" si="2"/>
        <v>-750</v>
      </c>
      <c r="J9" s="7">
        <f t="shared" si="7"/>
        <v>7.9664706197263513E-2</v>
      </c>
      <c r="K9" s="15">
        <f>IF((J9)&lt;0,Parameters!$D$36,Parameters!$D$35)</f>
        <v>0.03</v>
      </c>
      <c r="L9" s="6">
        <f t="shared" si="3"/>
        <v>1.9647465681376516E-4</v>
      </c>
      <c r="M9" s="7">
        <f>IF(J9&lt;0,-Parameters!$D$37,0)</f>
        <v>0</v>
      </c>
      <c r="N9" s="7">
        <f t="shared" si="4"/>
        <v>1516.6799999999998</v>
      </c>
      <c r="O9" s="7">
        <f t="shared" si="5"/>
        <v>1516.7598611808539</v>
      </c>
      <c r="R9" s="7">
        <f t="shared" si="0"/>
        <v>766.68</v>
      </c>
      <c r="S9" s="16">
        <f>(1+Parameters!$D$32)^((12-A9+0.5)/12)</f>
        <v>1.0613788475341355</v>
      </c>
      <c r="T9" s="7">
        <f t="shared" si="6"/>
        <v>813.73793482747089</v>
      </c>
    </row>
    <row r="10" spans="1:20" x14ac:dyDescent="0.25">
      <c r="A10" s="5">
        <v>6</v>
      </c>
      <c r="B10" s="5" t="str">
        <f>Parameters!A17</f>
        <v>Jun</v>
      </c>
      <c r="C10" s="7">
        <f>Revenue!K11</f>
        <v>2350</v>
      </c>
      <c r="E10" s="7">
        <f>-Revenue!Q11</f>
        <v>-750</v>
      </c>
      <c r="F10" s="7">
        <f>IF(MOD(A10-1,3)=0,-Parameters!$C$4/4,0)</f>
        <v>0</v>
      </c>
      <c r="G10" s="13">
        <f t="shared" si="1"/>
        <v>-893.32</v>
      </c>
      <c r="I10" s="11">
        <f t="shared" si="2"/>
        <v>-750</v>
      </c>
      <c r="J10" s="7">
        <f t="shared" si="7"/>
        <v>766.75986118085393</v>
      </c>
      <c r="K10" s="15">
        <f>IF((J10)&lt;0,Parameters!$D$36,Parameters!$D$35)</f>
        <v>0.03</v>
      </c>
      <c r="L10" s="6">
        <f t="shared" si="3"/>
        <v>1.8910366682461108</v>
      </c>
      <c r="M10" s="7">
        <f>IF(J10&lt;0,-Parameters!$D$37,0)</f>
        <v>0</v>
      </c>
      <c r="N10" s="7">
        <f t="shared" si="4"/>
        <v>1456.6799999999998</v>
      </c>
      <c r="O10" s="7">
        <f t="shared" si="5"/>
        <v>2225.3308978491</v>
      </c>
      <c r="R10" s="7">
        <f t="shared" si="0"/>
        <v>706.68</v>
      </c>
      <c r="S10" s="16">
        <f>(1+Parameters!$D$32)^((12-A10+0.5)/12)</f>
        <v>1.0529822194471254</v>
      </c>
      <c r="T10" s="7">
        <f t="shared" si="6"/>
        <v>744.12147483889453</v>
      </c>
    </row>
    <row r="11" spans="1:20" x14ac:dyDescent="0.25">
      <c r="A11" s="5">
        <v>7</v>
      </c>
      <c r="B11" s="5" t="str">
        <f>Parameters!A18</f>
        <v>Jul</v>
      </c>
      <c r="C11" s="7">
        <f>Revenue!K12</f>
        <v>2350</v>
      </c>
      <c r="E11" s="7">
        <f>-Revenue!Q12</f>
        <v>-750</v>
      </c>
      <c r="F11" s="7">
        <f>IF(MOD(A11-1,3)=0,-Parameters!$C$4/4,0)</f>
        <v>-1250</v>
      </c>
      <c r="G11" s="13">
        <f t="shared" si="1"/>
        <v>-893.32</v>
      </c>
      <c r="I11" s="11">
        <f t="shared" si="2"/>
        <v>-2000</v>
      </c>
      <c r="J11" s="7">
        <f t="shared" si="7"/>
        <v>225.33089784909998</v>
      </c>
      <c r="K11" s="15">
        <f>IF((J11)&lt;0,Parameters!$D$36,Parameters!$D$35)</f>
        <v>0.03</v>
      </c>
      <c r="L11" s="6">
        <f t="shared" si="3"/>
        <v>0.55572678213128501</v>
      </c>
      <c r="M11" s="7">
        <f>IF(J11&lt;0,-Parameters!$D$37,0)</f>
        <v>0</v>
      </c>
      <c r="N11" s="7">
        <f t="shared" si="4"/>
        <v>1456.6799999999998</v>
      </c>
      <c r="O11" s="7">
        <f t="shared" si="5"/>
        <v>1682.5666246312312</v>
      </c>
      <c r="R11" s="7">
        <f t="shared" si="0"/>
        <v>-543.32000000000005</v>
      </c>
      <c r="S11" s="16">
        <f>(1+Parameters!$D$32)^((12-A11+0.5)/12)</f>
        <v>1.0446520175597662</v>
      </c>
      <c r="T11" s="7">
        <f t="shared" si="6"/>
        <v>-567.58033418057221</v>
      </c>
    </row>
    <row r="12" spans="1:20" x14ac:dyDescent="0.25">
      <c r="A12" s="5">
        <v>8</v>
      </c>
      <c r="B12" s="5" t="str">
        <f>Parameters!A19</f>
        <v>Aug</v>
      </c>
      <c r="C12" s="7">
        <f>Revenue!K13</f>
        <v>2410</v>
      </c>
      <c r="E12" s="7">
        <f>-Revenue!Q13</f>
        <v>-750</v>
      </c>
      <c r="F12" s="7">
        <f>IF(MOD(A12-1,3)=0,-Parameters!$C$4/4,0)</f>
        <v>0</v>
      </c>
      <c r="G12" s="13">
        <f t="shared" si="1"/>
        <v>-893.32</v>
      </c>
      <c r="I12" s="11">
        <f t="shared" si="2"/>
        <v>-750</v>
      </c>
      <c r="J12" s="7">
        <f t="shared" si="7"/>
        <v>932.56662463123121</v>
      </c>
      <c r="K12" s="15">
        <f>IF((J12)&lt;0,Parameters!$D$36,Parameters!$D$35)</f>
        <v>0.03</v>
      </c>
      <c r="L12" s="6">
        <f t="shared" si="3"/>
        <v>2.2999608769872841</v>
      </c>
      <c r="M12" s="7">
        <f>IF(J12&lt;0,-Parameters!$D$37,0)</f>
        <v>0</v>
      </c>
      <c r="N12" s="7">
        <f t="shared" si="4"/>
        <v>1516.6799999999998</v>
      </c>
      <c r="O12" s="7">
        <f t="shared" si="5"/>
        <v>2451.5465855082184</v>
      </c>
      <c r="R12" s="7">
        <f t="shared" si="0"/>
        <v>766.68</v>
      </c>
      <c r="S12" s="16">
        <f>(1+Parameters!$D$32)^((12-A12+0.5)/12)</f>
        <v>1.0363877163706359</v>
      </c>
      <c r="T12" s="7">
        <f t="shared" si="6"/>
        <v>794.57773438703907</v>
      </c>
    </row>
    <row r="13" spans="1:20" x14ac:dyDescent="0.25">
      <c r="A13" s="5">
        <v>9</v>
      </c>
      <c r="B13" s="5" t="str">
        <f>Parameters!A20</f>
        <v>Sep</v>
      </c>
      <c r="C13" s="7">
        <f>Revenue!K14</f>
        <v>2470</v>
      </c>
      <c r="E13" s="7">
        <f>-Revenue!Q14</f>
        <v>-750</v>
      </c>
      <c r="F13" s="7">
        <f>IF(MOD(A13-1,3)=0,-Parameters!$C$4/4,0)</f>
        <v>0</v>
      </c>
      <c r="G13" s="13">
        <f t="shared" si="1"/>
        <v>-893.32</v>
      </c>
      <c r="I13" s="11">
        <f t="shared" si="2"/>
        <v>-750</v>
      </c>
      <c r="J13" s="7">
        <f t="shared" si="7"/>
        <v>1701.5465855082184</v>
      </c>
      <c r="K13" s="15">
        <f>IF((J13)&lt;0,Parameters!$D$36,Parameters!$D$35)</f>
        <v>0.03</v>
      </c>
      <c r="L13" s="6">
        <f t="shared" si="3"/>
        <v>4.1964729100054692</v>
      </c>
      <c r="M13" s="7">
        <f>IF(J13&lt;0,-Parameters!$D$37,0)</f>
        <v>0</v>
      </c>
      <c r="N13" s="7">
        <f t="shared" si="4"/>
        <v>1576.6799999999998</v>
      </c>
      <c r="O13" s="7">
        <f t="shared" si="5"/>
        <v>3282.4230584182237</v>
      </c>
      <c r="R13" s="7">
        <f t="shared" si="0"/>
        <v>826.68</v>
      </c>
      <c r="S13" s="16">
        <f>(1+Parameters!$D$32)^((12-A13+0.5)/12)</f>
        <v>1.0281887945355839</v>
      </c>
      <c r="T13" s="7">
        <f t="shared" si="6"/>
        <v>849.98311266667645</v>
      </c>
    </row>
    <row r="14" spans="1:20" x14ac:dyDescent="0.25">
      <c r="A14" s="5">
        <v>10</v>
      </c>
      <c r="B14" s="5" t="str">
        <f>Parameters!A21</f>
        <v>Oct</v>
      </c>
      <c r="C14" s="7">
        <f>Revenue!K15</f>
        <v>2530</v>
      </c>
      <c r="E14" s="7">
        <f>-Revenue!Q15</f>
        <v>-750</v>
      </c>
      <c r="F14" s="7">
        <f>IF(MOD(A14-1,3)=0,-Parameters!$C$4/4,0)</f>
        <v>-1250</v>
      </c>
      <c r="G14" s="13">
        <f t="shared" si="1"/>
        <v>-893.32</v>
      </c>
      <c r="I14" s="11">
        <f t="shared" si="2"/>
        <v>-2000</v>
      </c>
      <c r="J14" s="7">
        <f t="shared" si="7"/>
        <v>1282.4230584182237</v>
      </c>
      <c r="K14" s="15">
        <f>IF((J14)&lt;0,Parameters!$D$36,Parameters!$D$35)</f>
        <v>0.03</v>
      </c>
      <c r="L14" s="6">
        <f t="shared" si="3"/>
        <v>3.1628012242821097</v>
      </c>
      <c r="M14" s="7">
        <f>IF(J14&lt;0,-Parameters!$D$37,0)</f>
        <v>0</v>
      </c>
      <c r="N14" s="7">
        <f t="shared" si="4"/>
        <v>1636.6799999999998</v>
      </c>
      <c r="O14" s="7">
        <f t="shared" si="5"/>
        <v>2922.2658596425053</v>
      </c>
      <c r="R14" s="7">
        <f t="shared" si="0"/>
        <v>-363.32000000000005</v>
      </c>
      <c r="S14" s="16">
        <f>(1+Parameters!$D$32)^((12-A14+0.5)/12)</f>
        <v>1.0200547348348428</v>
      </c>
      <c r="T14" s="7">
        <f t="shared" si="6"/>
        <v>-370.60628626019513</v>
      </c>
    </row>
    <row r="15" spans="1:20" x14ac:dyDescent="0.25">
      <c r="A15" s="5">
        <v>11</v>
      </c>
      <c r="B15" s="5" t="str">
        <f>Parameters!A22</f>
        <v>Nov</v>
      </c>
      <c r="C15" s="7">
        <f>Revenue!K16</f>
        <v>2590</v>
      </c>
      <c r="E15" s="7">
        <f>-Revenue!Q16</f>
        <v>-749.99999999999989</v>
      </c>
      <c r="F15" s="7">
        <f>IF(MOD(A15-1,3)=0,-Parameters!$C$4/4,0)</f>
        <v>0</v>
      </c>
      <c r="G15" s="13">
        <f t="shared" si="1"/>
        <v>-893.32</v>
      </c>
      <c r="I15" s="11">
        <f t="shared" si="2"/>
        <v>-749.99999999999989</v>
      </c>
      <c r="J15" s="7">
        <f t="shared" si="7"/>
        <v>2172.2658596425053</v>
      </c>
      <c r="K15" s="15">
        <f>IF((J15)&lt;0,Parameters!$D$36,Parameters!$D$35)</f>
        <v>0.03</v>
      </c>
      <c r="L15" s="6">
        <f t="shared" si="3"/>
        <v>5.3573936270435931</v>
      </c>
      <c r="M15" s="7">
        <f>IF(J15&lt;0,-Parameters!$D$37,0)</f>
        <v>0</v>
      </c>
      <c r="N15" s="7">
        <f t="shared" si="4"/>
        <v>1696.6799999999998</v>
      </c>
      <c r="O15" s="7">
        <f t="shared" si="5"/>
        <v>3874.3032532695488</v>
      </c>
      <c r="R15" s="7">
        <f t="shared" si="0"/>
        <v>946.68</v>
      </c>
      <c r="S15" s="16">
        <f>(1+Parameters!$D$32)^((12-A15+0.5)/12)</f>
        <v>1.0119850241403996</v>
      </c>
      <c r="T15" s="7">
        <f t="shared" si="6"/>
        <v>958.02598265323343</v>
      </c>
    </row>
    <row r="16" spans="1:20" x14ac:dyDescent="0.25">
      <c r="A16" s="5">
        <v>12</v>
      </c>
      <c r="B16" s="5" t="str">
        <f>Parameters!A23</f>
        <v>Dec</v>
      </c>
      <c r="C16" s="7">
        <f>Revenue!K17</f>
        <v>2650</v>
      </c>
      <c r="E16" s="7">
        <f>-Revenue!Q17</f>
        <v>-750</v>
      </c>
      <c r="F16" s="7">
        <f>IF(MOD(A16-1,3)=0,-Parameters!$C$4/4,0)</f>
        <v>0</v>
      </c>
      <c r="G16" s="13">
        <f t="shared" si="1"/>
        <v>-893.32</v>
      </c>
      <c r="I16" s="11">
        <f t="shared" si="2"/>
        <v>-750</v>
      </c>
      <c r="J16" s="7">
        <f t="shared" si="7"/>
        <v>3124.3032532695488</v>
      </c>
      <c r="K16" s="15">
        <f>IF((J16)&lt;0,Parameters!$D$36,Parameters!$D$35)</f>
        <v>0.03</v>
      </c>
      <c r="L16" s="6">
        <f t="shared" si="3"/>
        <v>7.7053746730487571</v>
      </c>
      <c r="M16" s="7">
        <f>IF(J16&lt;0,-Parameters!$D$37,0)</f>
        <v>0</v>
      </c>
      <c r="N16" s="7">
        <f t="shared" si="4"/>
        <v>1756.6799999999998</v>
      </c>
      <c r="O16" s="7">
        <f t="shared" si="5"/>
        <v>4888.688627942598</v>
      </c>
      <c r="R16" s="7">
        <f t="shared" si="0"/>
        <v>1006.68</v>
      </c>
      <c r="S16" s="16">
        <f>(1+Parameters!$D$32)^((12-A16+0.5)/12)</f>
        <v>1.0039791533836266</v>
      </c>
      <c r="T16" s="7">
        <f t="shared" si="6"/>
        <v>1010.6857341282292</v>
      </c>
    </row>
    <row r="17" spans="1:21" ht="15.75" thickBot="1" x14ac:dyDescent="0.3">
      <c r="A17" s="5">
        <v>13</v>
      </c>
      <c r="G17" s="18">
        <f>SUM(G5:G16)</f>
        <v>-10719.839999999998</v>
      </c>
      <c r="L17" s="44">
        <f>SUM(L5:L16)</f>
        <v>8.5286279425993641</v>
      </c>
      <c r="M17" s="44">
        <f>SUM(M5:M16)</f>
        <v>-400</v>
      </c>
      <c r="R17" s="5"/>
      <c r="S17" s="5"/>
      <c r="T17" s="18">
        <f>SUM(T5:T16)</f>
        <v>5498.6559095331577</v>
      </c>
      <c r="U17" s="1" t="s">
        <v>59</v>
      </c>
    </row>
    <row r="18" spans="1:21" ht="15.75" thickTop="1" x14ac:dyDescent="0.25"/>
    <row r="20" spans="1:21" x14ac:dyDescent="0.25">
      <c r="A20" s="9" t="s">
        <v>47</v>
      </c>
      <c r="H20" s="5" t="s">
        <v>42</v>
      </c>
      <c r="I20" s="5" t="s">
        <v>43</v>
      </c>
    </row>
    <row r="21" spans="1:21" x14ac:dyDescent="0.25">
      <c r="A21" t="s">
        <v>41</v>
      </c>
      <c r="G21" s="7">
        <f>-G17</f>
        <v>10719.839999999998</v>
      </c>
      <c r="H21" s="3">
        <f>Parameters!$D$30</f>
        <v>0.25</v>
      </c>
      <c r="I21" s="7">
        <f>G21*H21</f>
        <v>2679.9599999999996</v>
      </c>
    </row>
    <row r="22" spans="1:21" x14ac:dyDescent="0.25">
      <c r="A22" t="s">
        <v>66</v>
      </c>
      <c r="G22" s="7">
        <f>T17</f>
        <v>5498.6559095331577</v>
      </c>
      <c r="H22" s="3">
        <f>Parameters!$D$31</f>
        <v>0.4</v>
      </c>
      <c r="I22" s="7">
        <f>G22*H22</f>
        <v>2199.462363813263</v>
      </c>
    </row>
    <row r="23" spans="1:21" ht="15.75" thickBot="1" x14ac:dyDescent="0.3">
      <c r="A23" t="s">
        <v>44</v>
      </c>
      <c r="I23" s="18">
        <f>I21+I22</f>
        <v>4879.4223638132626</v>
      </c>
    </row>
    <row r="24" spans="1:21" ht="15.75" thickTop="1" x14ac:dyDescent="0.25"/>
    <row r="25" spans="1:21" x14ac:dyDescent="0.25">
      <c r="A25" t="s">
        <v>48</v>
      </c>
      <c r="I25" s="7">
        <f>O16</f>
        <v>4888.688627942598</v>
      </c>
    </row>
    <row r="27" spans="1:21" x14ac:dyDescent="0.25">
      <c r="A27" t="s">
        <v>49</v>
      </c>
      <c r="I27" s="7">
        <f>I23-I25</f>
        <v>-9.2662641293354682</v>
      </c>
      <c r="J27" s="17" t="str">
        <f>IF(ROUND(I27,2)&lt;20,"Goal seek okay","Re-run goal seek")</f>
        <v>Goal seek okay</v>
      </c>
    </row>
    <row r="29" spans="1:21" x14ac:dyDescent="0.25">
      <c r="A29" t="s">
        <v>50</v>
      </c>
      <c r="I29" s="7">
        <v>893.32</v>
      </c>
    </row>
    <row r="31" spans="1:21" x14ac:dyDescent="0.25">
      <c r="A31" t="s">
        <v>72</v>
      </c>
      <c r="C31" s="43">
        <f>L17+M17</f>
        <v>-391.47137205740063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7"/>
  <sheetViews>
    <sheetView workbookViewId="0"/>
  </sheetViews>
  <sheetFormatPr defaultRowHeight="15" x14ac:dyDescent="0.25"/>
  <cols>
    <col min="1" max="1" width="4.85546875" customWidth="1"/>
    <col min="3" max="3" width="11.140625" customWidth="1"/>
    <col min="4" max="4" width="2.7109375" customWidth="1"/>
    <col min="5" max="5" width="10" customWidth="1"/>
    <col min="6" max="6" width="10.85546875" customWidth="1"/>
    <col min="10" max="10" width="10.85546875" customWidth="1"/>
    <col min="12" max="13" width="12.140625" customWidth="1"/>
    <col min="15" max="15" width="10.7109375" customWidth="1"/>
    <col min="18" max="18" width="11.28515625" customWidth="1"/>
    <col min="20" max="20" width="13.7109375" customWidth="1"/>
  </cols>
  <sheetData>
    <row r="1" spans="1:20" ht="18.75" x14ac:dyDescent="0.3">
      <c r="A1" s="10" t="s">
        <v>81</v>
      </c>
    </row>
    <row r="3" spans="1:20" x14ac:dyDescent="0.25">
      <c r="C3" t="s">
        <v>32</v>
      </c>
      <c r="E3" t="s">
        <v>33</v>
      </c>
      <c r="I3" t="s">
        <v>34</v>
      </c>
      <c r="R3" t="s">
        <v>68</v>
      </c>
    </row>
    <row r="4" spans="1:20" ht="60" x14ac:dyDescent="0.25">
      <c r="B4" s="5" t="s">
        <v>25</v>
      </c>
      <c r="C4" t="s">
        <v>27</v>
      </c>
      <c r="E4" s="12" t="s">
        <v>60</v>
      </c>
      <c r="F4" s="5" t="s">
        <v>0</v>
      </c>
      <c r="G4" s="5" t="s">
        <v>19</v>
      </c>
      <c r="I4" s="12" t="s">
        <v>35</v>
      </c>
      <c r="J4" s="12" t="s">
        <v>36</v>
      </c>
      <c r="K4" s="12" t="s">
        <v>56</v>
      </c>
      <c r="L4" s="12" t="s">
        <v>64</v>
      </c>
      <c r="M4" s="12" t="s">
        <v>65</v>
      </c>
      <c r="N4" s="12" t="s">
        <v>38</v>
      </c>
      <c r="O4" s="12" t="s">
        <v>37</v>
      </c>
      <c r="R4" s="19" t="s">
        <v>57</v>
      </c>
      <c r="S4" s="12" t="s">
        <v>58</v>
      </c>
      <c r="T4" s="19" t="s">
        <v>67</v>
      </c>
    </row>
    <row r="5" spans="1:20" x14ac:dyDescent="0.25">
      <c r="A5" s="5">
        <v>1</v>
      </c>
      <c r="B5" s="5" t="str">
        <f>Parameters!A12</f>
        <v>Jan</v>
      </c>
      <c r="C5" s="7">
        <f>Revenue!K6</f>
        <v>2650</v>
      </c>
      <c r="E5" s="7">
        <f>-Revenue!Q6</f>
        <v>-750</v>
      </c>
      <c r="F5" s="7">
        <f>IF(MOD(A5-1,3)=0,-Parameters!$C$4/4,0)</f>
        <v>-1250</v>
      </c>
      <c r="G5" s="13">
        <f t="shared" ref="G5:G16" si="0">-$T$19</f>
        <v>-1330.0527174579749</v>
      </c>
      <c r="I5" s="11">
        <f>F5+E5</f>
        <v>-2000</v>
      </c>
      <c r="J5" s="14">
        <f>I5</f>
        <v>-2000</v>
      </c>
      <c r="K5" s="15">
        <f>IF((J5)&lt;0,Parameters!$D$36,Parameters!$D$35)</f>
        <v>0.05</v>
      </c>
      <c r="L5" s="6">
        <f>(J5)*((1+K5)^(1/12)-1)</f>
        <v>-8.148247567296707</v>
      </c>
      <c r="M5" s="7">
        <f>IF(J5&lt;0,-Parameters!$D$37,0)</f>
        <v>-100</v>
      </c>
      <c r="N5" s="7">
        <f>C5+G5+M5</f>
        <v>1219.9472825420251</v>
      </c>
      <c r="O5" s="7">
        <f>J5+L5+N5</f>
        <v>-788.20096502527167</v>
      </c>
      <c r="R5" s="7">
        <f t="shared" ref="R5:R16" si="1">SUM(C5:G5)</f>
        <v>-680.05271745797495</v>
      </c>
      <c r="S5" s="16">
        <f>(1+Parameters!$D$32)^((12-A5+0.5)/12)</f>
        <v>1.0956402792754834</v>
      </c>
      <c r="T5" s="7">
        <f>R5*S5</f>
        <v>-745.09314927770708</v>
      </c>
    </row>
    <row r="6" spans="1:20" x14ac:dyDescent="0.25">
      <c r="A6" s="5">
        <v>2</v>
      </c>
      <c r="B6" s="5" t="str">
        <f>Parameters!A13</f>
        <v>Feb</v>
      </c>
      <c r="C6" s="7">
        <f>Revenue!K7</f>
        <v>2590</v>
      </c>
      <c r="E6" s="7">
        <f>-Revenue!Q7</f>
        <v>-749.99999999999989</v>
      </c>
      <c r="F6" s="7">
        <f>IF(MOD(A6-1,3)=0,-Parameters!$C$4/4,0)</f>
        <v>0</v>
      </c>
      <c r="G6" s="13">
        <f t="shared" si="0"/>
        <v>-1330.0527174579749</v>
      </c>
      <c r="I6" s="11">
        <f t="shared" ref="I6:I16" si="2">F6+E6</f>
        <v>-749.99999999999989</v>
      </c>
      <c r="J6" s="7">
        <f>O5+I6</f>
        <v>-1538.2009650252717</v>
      </c>
      <c r="K6" s="15">
        <f>IF((J6)&lt;0,Parameters!$D$36,Parameters!$D$35)</f>
        <v>0.05</v>
      </c>
      <c r="L6" s="6">
        <f t="shared" ref="L6:L16" si="3">(J6)*((1+K6)^(1/12)-1)</f>
        <v>-6.2668211356403081</v>
      </c>
      <c r="M6" s="7">
        <f>IF(J6&lt;0,-Parameters!$D$37,0)</f>
        <v>-100</v>
      </c>
      <c r="N6" s="7">
        <f t="shared" ref="N6:N16" si="4">C6+G6+M6</f>
        <v>1159.9472825420251</v>
      </c>
      <c r="O6" s="7">
        <f t="shared" ref="O6:O16" si="5">J6+L6+N6</f>
        <v>-384.52050361888701</v>
      </c>
      <c r="R6" s="7">
        <f t="shared" si="1"/>
        <v>509.94728254202505</v>
      </c>
      <c r="S6" s="16">
        <f>(1+Parameters!$D$32)^((12-A6+0.5)/12)</f>
        <v>1.0869726070643804</v>
      </c>
      <c r="T6" s="7">
        <f t="shared" ref="T6:T16" si="6">R6*S6</f>
        <v>554.29872717010119</v>
      </c>
    </row>
    <row r="7" spans="1:20" x14ac:dyDescent="0.25">
      <c r="A7" s="5">
        <v>3</v>
      </c>
      <c r="B7" s="5" t="str">
        <f>Parameters!A14</f>
        <v>Mar</v>
      </c>
      <c r="C7" s="7">
        <f>Revenue!K8</f>
        <v>2530</v>
      </c>
      <c r="E7" s="7">
        <f>-Revenue!Q8</f>
        <v>-750</v>
      </c>
      <c r="F7" s="7">
        <f>IF(MOD(A7-1,3)=0,-Parameters!$C$4/4,0)</f>
        <v>0</v>
      </c>
      <c r="G7" s="13">
        <f t="shared" si="0"/>
        <v>-1330.0527174579749</v>
      </c>
      <c r="I7" s="11">
        <f t="shared" si="2"/>
        <v>-750</v>
      </c>
      <c r="J7" s="7">
        <f t="shared" ref="J7:J16" si="7">O6+I7</f>
        <v>-1134.520503618887</v>
      </c>
      <c r="K7" s="15">
        <f>IF((J7)&lt;0,Parameters!$D$36,Parameters!$D$35)</f>
        <v>0.05</v>
      </c>
      <c r="L7" s="6">
        <f t="shared" si="3"/>
        <v>-4.6221769668304153</v>
      </c>
      <c r="M7" s="7">
        <f>IF(J7&lt;0,-Parameters!$D$37,0)</f>
        <v>-100</v>
      </c>
      <c r="N7" s="7">
        <f t="shared" si="4"/>
        <v>1099.9472825420251</v>
      </c>
      <c r="O7" s="7">
        <f t="shared" si="5"/>
        <v>-39.195398043692421</v>
      </c>
      <c r="R7" s="7">
        <f t="shared" si="1"/>
        <v>449.94728254202505</v>
      </c>
      <c r="S7" s="16">
        <f>(1+Parameters!$D$32)^((12-A7+0.5)/12)</f>
        <v>1.0783735052983223</v>
      </c>
      <c r="T7" s="7">
        <f t="shared" si="6"/>
        <v>485.21122827429821</v>
      </c>
    </row>
    <row r="8" spans="1:20" x14ac:dyDescent="0.25">
      <c r="A8" s="5">
        <v>4</v>
      </c>
      <c r="B8" s="5" t="str">
        <f>Parameters!A15</f>
        <v>Apr</v>
      </c>
      <c r="C8" s="7">
        <f>Revenue!K9</f>
        <v>2470</v>
      </c>
      <c r="E8" s="7">
        <f>-Revenue!Q9</f>
        <v>-750</v>
      </c>
      <c r="F8" s="7">
        <f>IF(MOD(A8-1,3)=0,-Parameters!$C$4/4,0)</f>
        <v>-1250</v>
      </c>
      <c r="G8" s="13">
        <f t="shared" si="0"/>
        <v>-1330.0527174579749</v>
      </c>
      <c r="I8" s="11">
        <f t="shared" si="2"/>
        <v>-2000</v>
      </c>
      <c r="J8" s="7">
        <f t="shared" si="7"/>
        <v>-2039.1953980436924</v>
      </c>
      <c r="K8" s="15">
        <f>IF((J8)&lt;0,Parameters!$D$36,Parameters!$D$35)</f>
        <v>0.05</v>
      </c>
      <c r="L8" s="6">
        <f t="shared" si="3"/>
        <v>-8.3079344706760789</v>
      </c>
      <c r="M8" s="7">
        <f>IF(J8&lt;0,-Parameters!$D$37,0)</f>
        <v>-100</v>
      </c>
      <c r="N8" s="7">
        <f t="shared" si="4"/>
        <v>1039.9472825420251</v>
      </c>
      <c r="O8" s="7">
        <f t="shared" si="5"/>
        <v>-1007.5560499723435</v>
      </c>
      <c r="R8" s="7">
        <f t="shared" si="1"/>
        <v>-860.05271745797495</v>
      </c>
      <c r="S8" s="16">
        <f>(1+Parameters!$D$32)^((12-A8+0.5)/12)</f>
        <v>1.0698424315126407</v>
      </c>
      <c r="T8" s="7">
        <f t="shared" si="6"/>
        <v>-920.12089047429413</v>
      </c>
    </row>
    <row r="9" spans="1:20" x14ac:dyDescent="0.25">
      <c r="A9" s="5">
        <v>5</v>
      </c>
      <c r="B9" s="5" t="str">
        <f>Parameters!A16</f>
        <v>May</v>
      </c>
      <c r="C9" s="7">
        <f>Revenue!K10</f>
        <v>2410</v>
      </c>
      <c r="E9" s="7">
        <f>-Revenue!Q10</f>
        <v>-750</v>
      </c>
      <c r="F9" s="7">
        <f>IF(MOD(A9-1,3)=0,-Parameters!$C$4/4,0)</f>
        <v>0</v>
      </c>
      <c r="G9" s="13">
        <f t="shared" si="0"/>
        <v>-1330.0527174579749</v>
      </c>
      <c r="I9" s="11">
        <f t="shared" si="2"/>
        <v>-750</v>
      </c>
      <c r="J9" s="7">
        <f t="shared" si="7"/>
        <v>-1757.5560499723435</v>
      </c>
      <c r="K9" s="15">
        <f>IF((J9)&lt;0,Parameters!$D$36,Parameters!$D$35)</f>
        <v>0.05</v>
      </c>
      <c r="L9" s="6">
        <f t="shared" si="3"/>
        <v>-7.1605009042873791</v>
      </c>
      <c r="M9" s="7">
        <f>IF(J9&lt;0,-Parameters!$D$37,0)</f>
        <v>-100</v>
      </c>
      <c r="N9" s="7">
        <f t="shared" si="4"/>
        <v>979.94728254202505</v>
      </c>
      <c r="O9" s="7">
        <f t="shared" si="5"/>
        <v>-784.76926833460584</v>
      </c>
      <c r="R9" s="7">
        <f t="shared" si="1"/>
        <v>329.94728254202505</v>
      </c>
      <c r="S9" s="16">
        <f>(1+Parameters!$D$32)^((12-A9+0.5)/12)</f>
        <v>1.0613788475341355</v>
      </c>
      <c r="T9" s="7">
        <f t="shared" si="6"/>
        <v>350.1990664914743</v>
      </c>
    </row>
    <row r="10" spans="1:20" x14ac:dyDescent="0.25">
      <c r="A10" s="5">
        <v>6</v>
      </c>
      <c r="B10" s="5" t="str">
        <f>Parameters!A17</f>
        <v>Jun</v>
      </c>
      <c r="C10" s="7">
        <f>Revenue!K11</f>
        <v>2350</v>
      </c>
      <c r="E10" s="7">
        <f>-Revenue!Q11</f>
        <v>-750</v>
      </c>
      <c r="F10" s="7">
        <f>IF(MOD(A10-1,3)=0,-Parameters!$C$4/4,0)</f>
        <v>0</v>
      </c>
      <c r="G10" s="13">
        <f t="shared" si="0"/>
        <v>-1330.0527174579749</v>
      </c>
      <c r="I10" s="11">
        <f t="shared" si="2"/>
        <v>-750</v>
      </c>
      <c r="J10" s="7">
        <f t="shared" si="7"/>
        <v>-1534.7692683346058</v>
      </c>
      <c r="K10" s="15">
        <f>IF((J10)&lt;0,Parameters!$D$36,Parameters!$D$35)</f>
        <v>0.05</v>
      </c>
      <c r="L10" s="6">
        <f t="shared" si="3"/>
        <v>-6.2528399785345998</v>
      </c>
      <c r="M10" s="7">
        <f>IF(J10&lt;0,-Parameters!$D$37,0)</f>
        <v>-100</v>
      </c>
      <c r="N10" s="7">
        <f t="shared" si="4"/>
        <v>919.94728254202505</v>
      </c>
      <c r="O10" s="7">
        <f t="shared" si="5"/>
        <v>-621.07482577111546</v>
      </c>
      <c r="R10" s="7">
        <f t="shared" si="1"/>
        <v>269.94728254202505</v>
      </c>
      <c r="S10" s="16">
        <f>(1+Parameters!$D$32)^((12-A10+0.5)/12)</f>
        <v>1.0529822194471254</v>
      </c>
      <c r="T10" s="7">
        <f t="shared" si="6"/>
        <v>284.24968870482178</v>
      </c>
    </row>
    <row r="11" spans="1:20" x14ac:dyDescent="0.25">
      <c r="A11" s="5">
        <v>7</v>
      </c>
      <c r="B11" s="5" t="str">
        <f>Parameters!A18</f>
        <v>Jul</v>
      </c>
      <c r="C11" s="7">
        <f>Revenue!K12</f>
        <v>2350</v>
      </c>
      <c r="E11" s="7">
        <f>-Revenue!Q12</f>
        <v>-750</v>
      </c>
      <c r="F11" s="7">
        <f>IF(MOD(A11-1,3)=0,-Parameters!$C$4/4,0)</f>
        <v>-1250</v>
      </c>
      <c r="G11" s="13">
        <f t="shared" si="0"/>
        <v>-1330.0527174579749</v>
      </c>
      <c r="I11" s="11">
        <f t="shared" si="2"/>
        <v>-2000</v>
      </c>
      <c r="J11" s="7">
        <f t="shared" si="7"/>
        <v>-2621.0748257711157</v>
      </c>
      <c r="K11" s="15">
        <f>IF((J11)&lt;0,Parameters!$D$36,Parameters!$D$35)</f>
        <v>0.05</v>
      </c>
      <c r="L11" s="6">
        <f t="shared" si="3"/>
        <v>-10.678583286396067</v>
      </c>
      <c r="M11" s="7">
        <f>IF(J11&lt;0,-Parameters!$D$37,0)</f>
        <v>-100</v>
      </c>
      <c r="N11" s="7">
        <f t="shared" si="4"/>
        <v>919.94728254202505</v>
      </c>
      <c r="O11" s="7">
        <f t="shared" si="5"/>
        <v>-1711.8061265154868</v>
      </c>
      <c r="R11" s="7">
        <f t="shared" si="1"/>
        <v>-980.05271745797495</v>
      </c>
      <c r="S11" s="16">
        <f>(1+Parameters!$D$32)^((12-A11+0.5)/12)</f>
        <v>1.0446520175597662</v>
      </c>
      <c r="T11" s="7">
        <f t="shared" si="6"/>
        <v>-1023.8140486074051</v>
      </c>
    </row>
    <row r="12" spans="1:20" x14ac:dyDescent="0.25">
      <c r="A12" s="5">
        <v>8</v>
      </c>
      <c r="B12" s="5" t="str">
        <f>Parameters!A19</f>
        <v>Aug</v>
      </c>
      <c r="C12" s="7">
        <f>Revenue!K13</f>
        <v>2410</v>
      </c>
      <c r="E12" s="7">
        <f>-Revenue!Q13</f>
        <v>-750</v>
      </c>
      <c r="F12" s="7">
        <f>IF(MOD(A12-1,3)=0,-Parameters!$C$4/4,0)</f>
        <v>0</v>
      </c>
      <c r="G12" s="13">
        <f t="shared" si="0"/>
        <v>-1330.0527174579749</v>
      </c>
      <c r="I12" s="11">
        <f t="shared" si="2"/>
        <v>-750</v>
      </c>
      <c r="J12" s="7">
        <f t="shared" si="7"/>
        <v>-2461.8061265154865</v>
      </c>
      <c r="K12" s="15">
        <f>IF((J12)&lt;0,Parameters!$D$36,Parameters!$D$35)</f>
        <v>0.05</v>
      </c>
      <c r="L12" s="6">
        <f t="shared" si="3"/>
        <v>-10.029702890767972</v>
      </c>
      <c r="M12" s="7">
        <f>IF(J12&lt;0,-Parameters!$D$37,0)</f>
        <v>-100</v>
      </c>
      <c r="N12" s="7">
        <f t="shared" si="4"/>
        <v>979.94728254202505</v>
      </c>
      <c r="O12" s="7">
        <f t="shared" si="5"/>
        <v>-1491.8885468642295</v>
      </c>
      <c r="R12" s="7">
        <f t="shared" si="1"/>
        <v>329.94728254202505</v>
      </c>
      <c r="S12" s="16">
        <f>(1+Parameters!$D$32)^((12-A12+0.5)/12)</f>
        <v>1.0363877163706359</v>
      </c>
      <c r="T12" s="7">
        <f t="shared" si="6"/>
        <v>341.95331067642633</v>
      </c>
    </row>
    <row r="13" spans="1:20" x14ac:dyDescent="0.25">
      <c r="A13" s="5">
        <v>9</v>
      </c>
      <c r="B13" s="5" t="str">
        <f>Parameters!A20</f>
        <v>Sep</v>
      </c>
      <c r="C13" s="7">
        <f>Revenue!K14</f>
        <v>2470</v>
      </c>
      <c r="E13" s="7">
        <f>-Revenue!Q14</f>
        <v>-750</v>
      </c>
      <c r="F13" s="7">
        <f>IF(MOD(A13-1,3)=0,-Parameters!$C$4/4,0)</f>
        <v>0</v>
      </c>
      <c r="G13" s="13">
        <f t="shared" si="0"/>
        <v>-1330.0527174579749</v>
      </c>
      <c r="I13" s="11">
        <f t="shared" si="2"/>
        <v>-750</v>
      </c>
      <c r="J13" s="7">
        <f t="shared" si="7"/>
        <v>-2241.8885468642293</v>
      </c>
      <c r="K13" s="15">
        <f>IF((J13)&lt;0,Parameters!$D$36,Parameters!$D$35)</f>
        <v>0.05</v>
      </c>
      <c r="L13" s="6">
        <f t="shared" si="3"/>
        <v>-9.133731449068403</v>
      </c>
      <c r="M13" s="7">
        <f>IF(J13&lt;0,-Parameters!$D$37,0)</f>
        <v>-100</v>
      </c>
      <c r="N13" s="7">
        <f t="shared" si="4"/>
        <v>1039.9472825420251</v>
      </c>
      <c r="O13" s="7">
        <f t="shared" si="5"/>
        <v>-1211.0749957712726</v>
      </c>
      <c r="R13" s="7">
        <f t="shared" si="1"/>
        <v>389.94728254202505</v>
      </c>
      <c r="S13" s="16">
        <f>(1+Parameters!$D$32)^((12-A13+0.5)/12)</f>
        <v>1.0281887945355839</v>
      </c>
      <c r="T13" s="7">
        <f t="shared" si="6"/>
        <v>400.93942636931149</v>
      </c>
    </row>
    <row r="14" spans="1:20" x14ac:dyDescent="0.25">
      <c r="A14" s="5">
        <v>10</v>
      </c>
      <c r="B14" s="5" t="str">
        <f>Parameters!A21</f>
        <v>Oct</v>
      </c>
      <c r="C14" s="7">
        <f>Revenue!K15</f>
        <v>2530</v>
      </c>
      <c r="E14" s="7">
        <f>-Revenue!Q15</f>
        <v>-750</v>
      </c>
      <c r="F14" s="7">
        <f>IF(MOD(A14-1,3)=0,-Parameters!$C$4/4,0)</f>
        <v>-1250</v>
      </c>
      <c r="G14" s="13">
        <f t="shared" si="0"/>
        <v>-1330.0527174579749</v>
      </c>
      <c r="I14" s="11">
        <f t="shared" si="2"/>
        <v>-2000</v>
      </c>
      <c r="J14" s="7">
        <f t="shared" si="7"/>
        <v>-3211.0749957712724</v>
      </c>
      <c r="K14" s="15">
        <f>IF((J14)&lt;0,Parameters!$D$36,Parameters!$D$35)</f>
        <v>0.05</v>
      </c>
      <c r="L14" s="6">
        <f t="shared" si="3"/>
        <v>-13.082317011350277</v>
      </c>
      <c r="M14" s="7">
        <f>IF(J14&lt;0,-Parameters!$D$37,0)</f>
        <v>-100</v>
      </c>
      <c r="N14" s="7">
        <f t="shared" si="4"/>
        <v>1099.9472825420251</v>
      </c>
      <c r="O14" s="7">
        <f t="shared" si="5"/>
        <v>-2124.2100302405979</v>
      </c>
      <c r="R14" s="7">
        <f t="shared" si="1"/>
        <v>-800.05271745797495</v>
      </c>
      <c r="S14" s="16">
        <f>(1+Parameters!$D$32)^((12-A14+0.5)/12)</f>
        <v>1.0200547348348428</v>
      </c>
      <c r="T14" s="7">
        <f t="shared" si="6"/>
        <v>-816.09756256049002</v>
      </c>
    </row>
    <row r="15" spans="1:20" x14ac:dyDescent="0.25">
      <c r="A15" s="5">
        <v>11</v>
      </c>
      <c r="B15" s="5" t="str">
        <f>Parameters!A22</f>
        <v>Nov</v>
      </c>
      <c r="C15" s="7">
        <f>Revenue!K16</f>
        <v>2590</v>
      </c>
      <c r="E15" s="7">
        <f>-Revenue!Q16</f>
        <v>-749.99999999999989</v>
      </c>
      <c r="F15" s="7">
        <f>IF(MOD(A15-1,3)=0,-Parameters!$C$4/4,0)</f>
        <v>0</v>
      </c>
      <c r="G15" s="13">
        <f t="shared" si="0"/>
        <v>-1330.0527174579749</v>
      </c>
      <c r="I15" s="11">
        <f t="shared" si="2"/>
        <v>-749.99999999999989</v>
      </c>
      <c r="J15" s="7">
        <f t="shared" si="7"/>
        <v>-2874.2100302405979</v>
      </c>
      <c r="K15" s="15">
        <f>IF((J15)&lt;0,Parameters!$D$36,Parameters!$D$35)</f>
        <v>0.05</v>
      </c>
      <c r="L15" s="6">
        <f t="shared" si="3"/>
        <v>-11.709887443403874</v>
      </c>
      <c r="M15" s="7">
        <f>IF(J15&lt;0,-Parameters!$D$37,0)</f>
        <v>-100</v>
      </c>
      <c r="N15" s="7">
        <f t="shared" si="4"/>
        <v>1159.9472825420251</v>
      </c>
      <c r="O15" s="7">
        <f t="shared" si="5"/>
        <v>-1725.9726351419765</v>
      </c>
      <c r="R15" s="7">
        <f t="shared" si="1"/>
        <v>509.94728254202505</v>
      </c>
      <c r="S15" s="16">
        <f>(1+Parameters!$D$32)^((12-A15+0.5)/12)</f>
        <v>1.0119850241403996</v>
      </c>
      <c r="T15" s="7">
        <f t="shared" si="6"/>
        <v>516.05901303362236</v>
      </c>
    </row>
    <row r="16" spans="1:20" x14ac:dyDescent="0.25">
      <c r="A16" s="5">
        <v>12</v>
      </c>
      <c r="B16" s="5" t="str">
        <f>Parameters!A23</f>
        <v>Dec</v>
      </c>
      <c r="C16" s="7">
        <f>Revenue!K17</f>
        <v>2650</v>
      </c>
      <c r="E16" s="7">
        <f>-Revenue!Q17</f>
        <v>-750</v>
      </c>
      <c r="F16" s="7">
        <f>IF(MOD(A16-1,3)=0,-Parameters!$C$4/4,0)</f>
        <v>0</v>
      </c>
      <c r="G16" s="13">
        <f t="shared" si="0"/>
        <v>-1330.0527174579749</v>
      </c>
      <c r="I16" s="11">
        <f t="shared" si="2"/>
        <v>-750</v>
      </c>
      <c r="J16" s="7">
        <f t="shared" si="7"/>
        <v>-2475.9726351419768</v>
      </c>
      <c r="K16" s="15">
        <f>IF((J16)&lt;0,Parameters!$D$36,Parameters!$D$35)</f>
        <v>0.05</v>
      </c>
      <c r="L16" s="6">
        <f t="shared" si="3"/>
        <v>-10.087419000494414</v>
      </c>
      <c r="M16" s="7">
        <f>IF(J16&lt;0,-Parameters!$D$37,0)</f>
        <v>-100</v>
      </c>
      <c r="N16" s="7">
        <f t="shared" si="4"/>
        <v>1219.9472825420251</v>
      </c>
      <c r="O16" s="7">
        <f t="shared" si="5"/>
        <v>-1266.112771600446</v>
      </c>
      <c r="R16" s="7">
        <f t="shared" si="1"/>
        <v>569.94728254202505</v>
      </c>
      <c r="S16" s="16">
        <f>(1+Parameters!$D$32)^((12-A16+0.5)/12)</f>
        <v>1.0039791533836266</v>
      </c>
      <c r="T16" s="7">
        <f t="shared" si="6"/>
        <v>572.215190199841</v>
      </c>
    </row>
    <row r="17" spans="1:21" ht="15.75" thickBot="1" x14ac:dyDescent="0.3">
      <c r="A17" s="5">
        <v>13</v>
      </c>
      <c r="G17" s="18">
        <f>SUM(G5:G16)</f>
        <v>-15960.632609495698</v>
      </c>
      <c r="L17" s="44">
        <f>SUM(L5:L16)</f>
        <v>-105.48016210474651</v>
      </c>
      <c r="M17" s="44">
        <f>SUM(M5:M16)</f>
        <v>-1200</v>
      </c>
      <c r="R17" s="5"/>
      <c r="S17" s="5"/>
      <c r="T17" s="18">
        <f>SUM(T5:T16)</f>
        <v>0</v>
      </c>
      <c r="U17" s="1" t="s">
        <v>59</v>
      </c>
    </row>
    <row r="18" spans="1:21" ht="15.75" thickTop="1" x14ac:dyDescent="0.25"/>
    <row r="19" spans="1:21" x14ac:dyDescent="0.25">
      <c r="R19" t="s">
        <v>69</v>
      </c>
      <c r="T19" s="7">
        <v>1330.0527174579749</v>
      </c>
    </row>
    <row r="20" spans="1:21" x14ac:dyDescent="0.25">
      <c r="A20" s="9" t="s">
        <v>47</v>
      </c>
      <c r="H20" s="5" t="s">
        <v>42</v>
      </c>
      <c r="I20" s="5" t="s">
        <v>43</v>
      </c>
    </row>
    <row r="21" spans="1:21" x14ac:dyDescent="0.25">
      <c r="A21" t="s">
        <v>41</v>
      </c>
      <c r="G21" s="7">
        <f>-G17</f>
        <v>15960.632609495698</v>
      </c>
      <c r="H21" s="3">
        <f>Parameters!$D$30</f>
        <v>0.25</v>
      </c>
      <c r="I21" s="7">
        <f>G21*H21</f>
        <v>3990.1581523739246</v>
      </c>
      <c r="R21" s="40" t="s">
        <v>40</v>
      </c>
      <c r="T21" s="17" t="str">
        <f>IF(ROUND(T17,2)=0,"Goal seek okay","Re-run goal seek")</f>
        <v>Goal seek okay</v>
      </c>
    </row>
    <row r="22" spans="1:21" x14ac:dyDescent="0.25">
      <c r="A22" t="s">
        <v>66</v>
      </c>
      <c r="G22" s="7">
        <f>T17</f>
        <v>0</v>
      </c>
      <c r="H22" s="3">
        <f>Parameters!$D$31</f>
        <v>0.4</v>
      </c>
      <c r="I22" s="7">
        <f>G22*H22</f>
        <v>0</v>
      </c>
    </row>
    <row r="23" spans="1:21" ht="15.75" thickBot="1" x14ac:dyDescent="0.3">
      <c r="A23" t="s">
        <v>44</v>
      </c>
      <c r="I23" s="18">
        <f>I21+I22</f>
        <v>3990.1581523739246</v>
      </c>
    </row>
    <row r="24" spans="1:21" ht="15.75" thickTop="1" x14ac:dyDescent="0.25"/>
    <row r="25" spans="1:21" x14ac:dyDescent="0.25">
      <c r="A25" t="s">
        <v>72</v>
      </c>
      <c r="C25" s="43">
        <f>M17+L17</f>
        <v>-1305.4801621047466</v>
      </c>
      <c r="I25" s="7"/>
    </row>
    <row r="27" spans="1:21" x14ac:dyDescent="0.25">
      <c r="I27" s="7"/>
      <c r="J27" s="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"/>
  <sheetViews>
    <sheetView workbookViewId="0"/>
  </sheetViews>
  <sheetFormatPr defaultRowHeight="15" x14ac:dyDescent="0.25"/>
  <cols>
    <col min="1" max="1" width="13.5703125" customWidth="1"/>
    <col min="2" max="3" width="13.7109375" customWidth="1"/>
    <col min="4" max="4" width="13.5703125" customWidth="1"/>
  </cols>
  <sheetData>
    <row r="1" spans="1:4" ht="18.75" x14ac:dyDescent="0.3">
      <c r="A1" s="10" t="s">
        <v>61</v>
      </c>
    </row>
    <row r="3" spans="1:4" x14ac:dyDescent="0.25">
      <c r="A3" s="5" t="s">
        <v>25</v>
      </c>
      <c r="B3" t="s">
        <v>24</v>
      </c>
      <c r="C3" t="s">
        <v>39</v>
      </c>
      <c r="D3" t="s">
        <v>51</v>
      </c>
    </row>
    <row r="4" spans="1:4" x14ac:dyDescent="0.25">
      <c r="A4" s="20">
        <v>42370</v>
      </c>
      <c r="B4" s="21">
        <f>'Scenario One'!J5</f>
        <v>-2000</v>
      </c>
      <c r="C4" s="21">
        <f>'Scenario Two'!J5</f>
        <v>-2000</v>
      </c>
      <c r="D4" s="21">
        <f>'Scenario Three'!J5</f>
        <v>-2000</v>
      </c>
    </row>
    <row r="5" spans="1:4" x14ac:dyDescent="0.25">
      <c r="A5" s="20">
        <v>42401</v>
      </c>
      <c r="B5" s="21">
        <f>'Scenario One'!J6</f>
        <v>-1208.1482475672965</v>
      </c>
      <c r="C5" s="21">
        <f>'Scenario Two'!J6</f>
        <v>-1101.4682475672967</v>
      </c>
      <c r="D5" s="21">
        <f>'Scenario Three'!J6</f>
        <v>-1538.2009650252717</v>
      </c>
    </row>
    <row r="6" spans="1:4" x14ac:dyDescent="0.25">
      <c r="A6" s="20">
        <v>42430</v>
      </c>
      <c r="B6" s="21">
        <f>'Scenario One'!J7</f>
        <v>-473.07039307688342</v>
      </c>
      <c r="C6" s="21">
        <f>'Scenario Two'!J7</f>
        <v>-259.27576555164433</v>
      </c>
      <c r="D6" s="21">
        <f>'Scenario Three'!J7</f>
        <v>-1134.520503618887</v>
      </c>
    </row>
    <row r="7" spans="1:4" x14ac:dyDescent="0.25">
      <c r="A7" s="20">
        <v>42461</v>
      </c>
      <c r="B7" s="21">
        <f>'Scenario One'!J8</f>
        <v>-1044.997740416658</v>
      </c>
      <c r="C7" s="21">
        <f>'Scenario Two'!J8</f>
        <v>-723.65208711460218</v>
      </c>
      <c r="D7" s="21">
        <f>'Scenario Three'!J8</f>
        <v>-2039.1953980436924</v>
      </c>
    </row>
    <row r="8" spans="1:4" x14ac:dyDescent="0.25">
      <c r="A8" s="20">
        <v>42491</v>
      </c>
      <c r="B8" s="21">
        <f>'Scenario One'!J9</f>
        <v>-429.25519056474832</v>
      </c>
      <c r="C8" s="21">
        <f>'Scenario Two'!J9</f>
        <v>7.9664706197263513E-2</v>
      </c>
      <c r="D8" s="21">
        <f>'Scenario Three'!J9</f>
        <v>-1757.5560499723435</v>
      </c>
    </row>
    <row r="9" spans="1:4" x14ac:dyDescent="0.25">
      <c r="A9" s="20">
        <v>42522</v>
      </c>
      <c r="B9" s="21">
        <f>'Scenario One'!J10</f>
        <v>128.9959706541174</v>
      </c>
      <c r="C9" s="21">
        <f>'Scenario Two'!J10</f>
        <v>766.75986118085393</v>
      </c>
      <c r="D9" s="21">
        <f>'Scenario Three'!J10</f>
        <v>-1534.7692683346058</v>
      </c>
    </row>
    <row r="10" spans="1:4" x14ac:dyDescent="0.25">
      <c r="A10" s="20">
        <v>42552</v>
      </c>
      <c r="B10" s="21">
        <f>'Scenario One'!J11</f>
        <v>-520.68589048270928</v>
      </c>
      <c r="C10" s="21">
        <f>'Scenario Two'!J11</f>
        <v>225.33089784909998</v>
      </c>
      <c r="D10" s="21">
        <f>'Scenario Three'!J11</f>
        <v>-2621.0748257711157</v>
      </c>
    </row>
    <row r="11" spans="1:4" x14ac:dyDescent="0.25">
      <c r="A11" s="20">
        <v>42583</v>
      </c>
      <c r="B11" s="21">
        <f>'Scenario One'!J12</f>
        <v>-22.807229252935031</v>
      </c>
      <c r="C11" s="21">
        <f>'Scenario Two'!J12</f>
        <v>932.56662463123121</v>
      </c>
      <c r="D11" s="21">
        <f>'Scenario Three'!J12</f>
        <v>-2461.8061265154865</v>
      </c>
    </row>
    <row r="12" spans="1:4" x14ac:dyDescent="0.25">
      <c r="A12" s="20">
        <v>42614</v>
      </c>
      <c r="B12" s="21">
        <f>'Scenario One'!J13</f>
        <v>537.09985127192635</v>
      </c>
      <c r="C12" s="21">
        <f>'Scenario Two'!J13</f>
        <v>1701.5465855082184</v>
      </c>
      <c r="D12" s="21">
        <f>'Scenario Three'!J13</f>
        <v>-2241.8885468642293</v>
      </c>
    </row>
    <row r="13" spans="1:4" x14ac:dyDescent="0.25">
      <c r="A13" s="20">
        <v>42644</v>
      </c>
      <c r="B13" s="21">
        <f>'Scenario One'!J14</f>
        <v>8.424484399827179</v>
      </c>
      <c r="C13" s="21">
        <f>'Scenario Two'!J14</f>
        <v>1282.4230584182237</v>
      </c>
      <c r="D13" s="21">
        <f>'Scenario Three'!J14</f>
        <v>-3211.0749957712724</v>
      </c>
    </row>
    <row r="14" spans="1:4" x14ac:dyDescent="0.25">
      <c r="A14" s="20">
        <v>42675</v>
      </c>
      <c r="B14" s="21">
        <f>'Scenario One'!J15</f>
        <v>788.44526145104976</v>
      </c>
      <c r="C14" s="21">
        <f>'Scenario Two'!J15</f>
        <v>2172.2658596425053</v>
      </c>
      <c r="D14" s="21">
        <f>'Scenario Three'!J15</f>
        <v>-2874.2100302405979</v>
      </c>
    </row>
    <row r="15" spans="1:4" x14ac:dyDescent="0.25">
      <c r="A15" s="20">
        <v>42705</v>
      </c>
      <c r="B15" s="21">
        <f>'Scenario One'!J16</f>
        <v>1630.3897801664825</v>
      </c>
      <c r="C15" s="21">
        <f>'Scenario Two'!J16</f>
        <v>3124.3032532695488</v>
      </c>
      <c r="D15" s="21">
        <f>'Scenario Three'!J16</f>
        <v>-2475.9726351419768</v>
      </c>
    </row>
    <row r="16" spans="1:4" x14ac:dyDescent="0.25">
      <c r="A16" s="20">
        <v>42736</v>
      </c>
      <c r="B16" s="22">
        <f>'Scenario One'!O16</f>
        <v>3284.41076119838</v>
      </c>
      <c r="C16" s="22">
        <f>'Scenario Two'!O16</f>
        <v>4888.688627942598</v>
      </c>
      <c r="D16" s="22">
        <f>'Scenario Three'!O16</f>
        <v>-1266.112771600446</v>
      </c>
    </row>
    <row r="24" spans="1:4" ht="18.75" x14ac:dyDescent="0.3">
      <c r="A24" s="10" t="s">
        <v>54</v>
      </c>
    </row>
    <row r="25" spans="1:4" x14ac:dyDescent="0.25">
      <c r="A25" t="s">
        <v>55</v>
      </c>
      <c r="B25" t="s">
        <v>24</v>
      </c>
      <c r="C25" t="s">
        <v>39</v>
      </c>
      <c r="D25" t="s">
        <v>51</v>
      </c>
    </row>
    <row r="26" spans="1:4" x14ac:dyDescent="0.25">
      <c r="A26" t="s">
        <v>79</v>
      </c>
      <c r="B26" s="21">
        <f>'Scenario One'!I21</f>
        <v>3000</v>
      </c>
      <c r="C26" s="21">
        <f>'Scenario Two'!I21</f>
        <v>2679.9599999999996</v>
      </c>
      <c r="D26" s="21">
        <f>'Scenario Three'!I21</f>
        <v>3990.1581523739246</v>
      </c>
    </row>
    <row r="27" spans="1:4" x14ac:dyDescent="0.25">
      <c r="A27" t="s">
        <v>80</v>
      </c>
      <c r="B27" s="21">
        <f>'Scenario One'!I22</f>
        <v>1662.2032220266688</v>
      </c>
      <c r="C27" s="21">
        <f>'Scenario Two'!I22</f>
        <v>2199.462363813263</v>
      </c>
      <c r="D27" s="21">
        <f>'Scenario Three'!I22</f>
        <v>0</v>
      </c>
    </row>
    <row r="42" spans="1:4" ht="18.75" x14ac:dyDescent="0.3">
      <c r="A42" s="10" t="s">
        <v>71</v>
      </c>
    </row>
    <row r="43" spans="1:4" x14ac:dyDescent="0.25">
      <c r="A43" t="s">
        <v>55</v>
      </c>
      <c r="B43" t="s">
        <v>24</v>
      </c>
      <c r="C43" t="s">
        <v>39</v>
      </c>
      <c r="D43" t="s">
        <v>51</v>
      </c>
    </row>
    <row r="44" spans="1:4" x14ac:dyDescent="0.25">
      <c r="A44" t="s">
        <v>74</v>
      </c>
      <c r="B44" s="21">
        <f>'Scenario One'!L17</f>
        <v>-15.589238801620219</v>
      </c>
      <c r="C44" s="21">
        <f>'Scenario Two'!L17</f>
        <v>8.5286279425993641</v>
      </c>
      <c r="D44" s="21">
        <f>'Scenario Three'!L17</f>
        <v>-105.48016210474651</v>
      </c>
    </row>
    <row r="45" spans="1:4" x14ac:dyDescent="0.25">
      <c r="A45" t="s">
        <v>73</v>
      </c>
      <c r="B45" s="21">
        <f>'Scenario One'!M17</f>
        <v>-700</v>
      </c>
      <c r="C45" s="21">
        <f>'Scenario Two'!M17</f>
        <v>-400</v>
      </c>
      <c r="D45" s="21">
        <f>'Scenario Three'!M17</f>
        <v>-1200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B7879-5AEE-4B47-B36A-5862B421D005}">
  <ds:schemaRefs>
    <ds:schemaRef ds:uri="http://schemas.openxmlformats.org/package/2006/metadata/core-properties"/>
    <ds:schemaRef ds:uri="e0a82e4c-fab7-409b-9177-d9582bcd9bf0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cfdab824-e670-41f2-a5ee-7d450410350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6AF821C-B88D-4536-8984-7792ED4CCA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35920-9AB6-4734-9CE3-17846D6D1D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Parameters</vt:lpstr>
      <vt:lpstr>Revenue</vt:lpstr>
      <vt:lpstr>Scenario One</vt:lpstr>
      <vt:lpstr>Scenario Two</vt:lpstr>
      <vt:lpstr>Scenario Three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Rosie Brooks</cp:lastModifiedBy>
  <dcterms:created xsi:type="dcterms:W3CDTF">2016-07-18T19:28:43Z</dcterms:created>
  <dcterms:modified xsi:type="dcterms:W3CDTF">2025-12-02T12:07:01Z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