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osiel\Downloads\"/>
    </mc:Choice>
  </mc:AlternateContent>
  <xr:revisionPtr revIDLastSave="0" documentId="8_{757C4499-B73E-4D53-BE81-304E890F47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rameters" sheetId="1" r:id="rId1"/>
    <sheet name="Loan Schedule A" sheetId="8" r:id="rId2"/>
    <sheet name="Loan Schedule B" sheetId="5" r:id="rId3"/>
    <sheet name="Income Comparison" sheetId="3" r:id="rId4"/>
    <sheet name="Repayment Comparison" sheetId="12" r:id="rId5"/>
  </sheets>
  <definedNames>
    <definedName name="age">Parameters!$B$23</definedName>
    <definedName name="infl">Parameters!$B$11</definedName>
    <definedName name="loan_A">Parameters!$B$7</definedName>
    <definedName name="loan_B">Parameters!$C$7</definedName>
    <definedName name="max_age">Parameters!$B$24</definedName>
    <definedName name="percent">Parameters!$B$21</definedName>
    <definedName name="sal_A">Parameters!$B$8</definedName>
    <definedName name="sal_B">Parameters!$C$8</definedName>
    <definedName name="Sal_Inc">Parameters!$B$12</definedName>
    <definedName name="start_sal_A">Parameters!$B$9</definedName>
    <definedName name="start_sal_B">Parameters!$C$9</definedName>
    <definedName name="target_percent">'Repayment Comparison'!$K$2</definedName>
    <definedName name="years_A">Parameters!$B$6</definedName>
    <definedName name="years_B">Parameters!$C$6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5" l="1"/>
  <c r="B6" i="12" s="1"/>
  <c r="B6" i="5"/>
  <c r="B7" i="12" s="1"/>
  <c r="B7" i="5"/>
  <c r="B8" i="12" s="1"/>
  <c r="B8" i="5"/>
  <c r="B9" i="12" s="1"/>
  <c r="B9" i="5"/>
  <c r="B10" i="12" s="1"/>
  <c r="B10" i="5"/>
  <c r="B11" i="12" s="1"/>
  <c r="B11" i="5"/>
  <c r="B12" i="12" s="1"/>
  <c r="B12" i="5"/>
  <c r="B13" i="12" s="1"/>
  <c r="B13" i="5"/>
  <c r="B14" i="12" s="1"/>
  <c r="B14" i="5"/>
  <c r="B15" i="12" s="1"/>
  <c r="B15" i="5"/>
  <c r="B16" i="12" s="1"/>
  <c r="B16" i="5"/>
  <c r="B17" i="12" s="1"/>
  <c r="B17" i="5"/>
  <c r="B18" i="12" s="1"/>
  <c r="B18" i="5"/>
  <c r="B19" i="12" s="1"/>
  <c r="B19" i="5"/>
  <c r="B20" i="12" s="1"/>
  <c r="B20" i="5"/>
  <c r="B21" i="12" s="1"/>
  <c r="B21" i="5"/>
  <c r="B22" i="12" s="1"/>
  <c r="B22" i="5"/>
  <c r="B23" i="12" s="1"/>
  <c r="B23" i="5"/>
  <c r="B24" i="12" s="1"/>
  <c r="B24" i="5"/>
  <c r="B25" i="12" s="1"/>
  <c r="B25" i="5"/>
  <c r="B26" i="12" s="1"/>
  <c r="B26" i="5"/>
  <c r="B27" i="12" s="1"/>
  <c r="B27" i="5"/>
  <c r="B28" i="12" s="1"/>
  <c r="B28" i="5"/>
  <c r="B29" i="12" s="1"/>
  <c r="B29" i="5"/>
  <c r="B30" i="12" s="1"/>
  <c r="B30" i="5"/>
  <c r="B31" i="12" s="1"/>
  <c r="B31" i="5"/>
  <c r="B32" i="12" s="1"/>
  <c r="B32" i="5"/>
  <c r="B33" i="12" s="1"/>
  <c r="B33" i="5"/>
  <c r="B34" i="12" s="1"/>
  <c r="B34" i="5"/>
  <c r="B35" i="12" s="1"/>
  <c r="B35" i="5"/>
  <c r="B36" i="12" s="1"/>
  <c r="B36" i="5"/>
  <c r="B37" i="12" s="1"/>
  <c r="B37" i="5"/>
  <c r="B38" i="12" s="1"/>
  <c r="B38" i="5"/>
  <c r="B39" i="12" s="1"/>
  <c r="B39" i="5"/>
  <c r="B40" i="12" s="1"/>
  <c r="B40" i="5"/>
  <c r="B41" i="12" s="1"/>
  <c r="B41" i="5"/>
  <c r="B42" i="12" s="1"/>
  <c r="B42" i="5"/>
  <c r="B43" i="12" s="1"/>
  <c r="B43" i="5"/>
  <c r="B44" i="12" s="1"/>
  <c r="B4" i="5"/>
  <c r="B5" i="12" s="1"/>
  <c r="J44" i="12" l="1"/>
  <c r="K44" i="12" s="1"/>
  <c r="G44" i="12"/>
  <c r="H44" i="12" s="1"/>
  <c r="J36" i="12"/>
  <c r="K36" i="12" s="1"/>
  <c r="G36" i="12"/>
  <c r="H36" i="12" s="1"/>
  <c r="J28" i="12"/>
  <c r="K28" i="12" s="1"/>
  <c r="G28" i="12"/>
  <c r="H28" i="12" s="1"/>
  <c r="J43" i="12"/>
  <c r="K43" i="12" s="1"/>
  <c r="G43" i="12"/>
  <c r="H43" i="12" s="1"/>
  <c r="J35" i="12"/>
  <c r="K35" i="12" s="1"/>
  <c r="G35" i="12"/>
  <c r="H35" i="12" s="1"/>
  <c r="J27" i="12"/>
  <c r="K27" i="12" s="1"/>
  <c r="G27" i="12"/>
  <c r="H27" i="12" s="1"/>
  <c r="J42" i="12"/>
  <c r="K42" i="12" s="1"/>
  <c r="G42" i="12"/>
  <c r="H42" i="12" s="1"/>
  <c r="G34" i="12"/>
  <c r="H34" i="12" s="1"/>
  <c r="J34" i="12"/>
  <c r="K34" i="12" s="1"/>
  <c r="G26" i="12"/>
  <c r="H26" i="12" s="1"/>
  <c r="J26" i="12"/>
  <c r="K26" i="12" s="1"/>
  <c r="G30" i="12"/>
  <c r="H30" i="12" s="1"/>
  <c r="J30" i="12"/>
  <c r="K30" i="12" s="1"/>
  <c r="G33" i="12"/>
  <c r="H33" i="12" s="1"/>
  <c r="J33" i="12"/>
  <c r="K33" i="12" s="1"/>
  <c r="J9" i="12"/>
  <c r="K9" i="12" s="1"/>
  <c r="G9" i="12"/>
  <c r="H9" i="12" s="1"/>
  <c r="J41" i="12"/>
  <c r="K41" i="12" s="1"/>
  <c r="G41" i="12"/>
  <c r="H41" i="12" s="1"/>
  <c r="J32" i="12"/>
  <c r="K32" i="12" s="1"/>
  <c r="G32" i="12"/>
  <c r="H32" i="12" s="1"/>
  <c r="J8" i="12"/>
  <c r="K8" i="12" s="1"/>
  <c r="G8" i="12"/>
  <c r="H8" i="12" s="1"/>
  <c r="J40" i="12"/>
  <c r="K40" i="12" s="1"/>
  <c r="G40" i="12"/>
  <c r="H40" i="12" s="1"/>
  <c r="J39" i="12"/>
  <c r="K39" i="12" s="1"/>
  <c r="G39" i="12"/>
  <c r="H39" i="12" s="1"/>
  <c r="J31" i="12"/>
  <c r="K31" i="12" s="1"/>
  <c r="G31" i="12"/>
  <c r="H31" i="12" s="1"/>
  <c r="J7" i="12"/>
  <c r="K7" i="12" s="1"/>
  <c r="G7" i="12"/>
  <c r="H7" i="12" s="1"/>
  <c r="J6" i="12"/>
  <c r="K6" i="12" s="1"/>
  <c r="G6" i="12"/>
  <c r="H6" i="12" s="1"/>
  <c r="J38" i="12"/>
  <c r="K38" i="12" s="1"/>
  <c r="G38" i="12"/>
  <c r="H38" i="12" s="1"/>
  <c r="J5" i="12"/>
  <c r="K5" i="12" s="1"/>
  <c r="G5" i="12"/>
  <c r="H5" i="12" s="1"/>
  <c r="I5" i="12" s="1"/>
  <c r="I6" i="12" s="1"/>
  <c r="I7" i="12" s="1"/>
  <c r="I8" i="12" s="1"/>
  <c r="I9" i="12" s="1"/>
  <c r="J37" i="12"/>
  <c r="K37" i="12" s="1"/>
  <c r="G37" i="12"/>
  <c r="H37" i="12" s="1"/>
  <c r="G29" i="12"/>
  <c r="H29" i="12" s="1"/>
  <c r="J29" i="12"/>
  <c r="K29" i="12" s="1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" i="8"/>
  <c r="L5" i="12" l="1"/>
  <c r="L6" i="12" s="1"/>
  <c r="L7" i="12" s="1"/>
  <c r="L8" i="12" s="1"/>
  <c r="L9" i="12" s="1"/>
  <c r="F4" i="8"/>
  <c r="C4" i="8"/>
  <c r="D42" i="8"/>
  <c r="D40" i="8"/>
  <c r="D38" i="8"/>
  <c r="D36" i="8"/>
  <c r="D34" i="8"/>
  <c r="D32" i="8"/>
  <c r="D30" i="8"/>
  <c r="D28" i="8"/>
  <c r="D26" i="8"/>
  <c r="D24" i="8"/>
  <c r="D22" i="8"/>
  <c r="D20" i="8"/>
  <c r="D16" i="8"/>
  <c r="D14" i="8"/>
  <c r="D12" i="8"/>
  <c r="D11" i="8"/>
  <c r="D8" i="8"/>
  <c r="F6" i="8"/>
  <c r="F5" i="8"/>
  <c r="C5" i="8" l="1"/>
  <c r="D4" i="8"/>
  <c r="E4" i="8" s="1"/>
  <c r="G4" i="8" s="1"/>
  <c r="C6" i="8"/>
  <c r="C7" i="8"/>
  <c r="D21" i="8"/>
  <c r="D10" i="8"/>
  <c r="D18" i="8"/>
  <c r="D19" i="8"/>
  <c r="D23" i="8"/>
  <c r="D7" i="8"/>
  <c r="D15" i="8"/>
  <c r="D6" i="8"/>
  <c r="D5" i="8"/>
  <c r="D9" i="8"/>
  <c r="D13" i="8"/>
  <c r="D17" i="8"/>
  <c r="D25" i="8"/>
  <c r="D27" i="8"/>
  <c r="D29" i="8"/>
  <c r="D31" i="8"/>
  <c r="D33" i="8"/>
  <c r="D35" i="8"/>
  <c r="D37" i="8"/>
  <c r="D39" i="8"/>
  <c r="D41" i="8"/>
  <c r="D43" i="8"/>
  <c r="B6" i="3" l="1"/>
  <c r="C8" i="8"/>
  <c r="E5" i="8"/>
  <c r="G5" i="8" s="1"/>
  <c r="B7" i="3" l="1"/>
  <c r="C9" i="8"/>
  <c r="C10" i="8" l="1"/>
  <c r="E6" i="8" l="1"/>
  <c r="G6" i="8" s="1"/>
  <c r="H5" i="8"/>
  <c r="C11" i="8"/>
  <c r="B8" i="3"/>
  <c r="E7" i="8" l="1"/>
  <c r="H6" i="8"/>
  <c r="C12" i="8"/>
  <c r="F7" i="8" l="1"/>
  <c r="B9" i="3" s="1"/>
  <c r="C13" i="8"/>
  <c r="G7" i="8" l="1"/>
  <c r="E8" i="8" s="1"/>
  <c r="C14" i="8"/>
  <c r="H7" i="8" l="1"/>
  <c r="F8" i="8"/>
  <c r="B10" i="3" s="1"/>
  <c r="C15" i="8"/>
  <c r="G8" i="8" l="1"/>
  <c r="C16" i="8"/>
  <c r="E9" i="8" l="1"/>
  <c r="H8" i="8"/>
  <c r="C17" i="8"/>
  <c r="F9" i="8" l="1"/>
  <c r="B11" i="3" s="1"/>
  <c r="C18" i="8"/>
  <c r="G9" i="8" l="1"/>
  <c r="C19" i="8"/>
  <c r="E10" i="8" l="1"/>
  <c r="H9" i="8"/>
  <c r="C20" i="8"/>
  <c r="F10" i="8" l="1"/>
  <c r="B12" i="3" s="1"/>
  <c r="C21" i="8"/>
  <c r="G10" i="8" l="1"/>
  <c r="C22" i="8"/>
  <c r="E11" i="8" l="1"/>
  <c r="H10" i="8"/>
  <c r="C23" i="8"/>
  <c r="F11" i="8" l="1"/>
  <c r="B13" i="3" s="1"/>
  <c r="C24" i="8"/>
  <c r="G11" i="8" l="1"/>
  <c r="C25" i="8"/>
  <c r="E12" i="8" l="1"/>
  <c r="H11" i="8"/>
  <c r="C26" i="8"/>
  <c r="F12" i="8" l="1"/>
  <c r="B14" i="3" s="1"/>
  <c r="C27" i="8"/>
  <c r="G12" i="8" l="1"/>
  <c r="C28" i="8"/>
  <c r="E13" i="8" l="1"/>
  <c r="H12" i="8"/>
  <c r="C29" i="8"/>
  <c r="F13" i="8" l="1"/>
  <c r="B15" i="3" s="1"/>
  <c r="C30" i="8"/>
  <c r="G13" i="8" l="1"/>
  <c r="C31" i="8"/>
  <c r="E14" i="8" l="1"/>
  <c r="H13" i="8"/>
  <c r="C32" i="8"/>
  <c r="F14" i="8" l="1"/>
  <c r="B16" i="3" s="1"/>
  <c r="C33" i="8"/>
  <c r="G14" i="8" l="1"/>
  <c r="C34" i="8"/>
  <c r="E15" i="8" l="1"/>
  <c r="H14" i="8"/>
  <c r="C35" i="8"/>
  <c r="F15" i="8" l="1"/>
  <c r="B17" i="3" s="1"/>
  <c r="C36" i="8"/>
  <c r="G15" i="8" l="1"/>
  <c r="C37" i="8"/>
  <c r="E16" i="8" l="1"/>
  <c r="H15" i="8"/>
  <c r="C38" i="8"/>
  <c r="F16" i="8" l="1"/>
  <c r="B18" i="3" s="1"/>
  <c r="C39" i="8"/>
  <c r="G16" i="8" l="1"/>
  <c r="C40" i="8"/>
  <c r="E17" i="8" l="1"/>
  <c r="H16" i="8"/>
  <c r="C41" i="8"/>
  <c r="F17" i="8" l="1"/>
  <c r="B19" i="3" s="1"/>
  <c r="C42" i="8"/>
  <c r="G17" i="8" l="1"/>
  <c r="C43" i="8"/>
  <c r="E18" i="8" l="1"/>
  <c r="H17" i="8"/>
  <c r="F18" i="8" l="1"/>
  <c r="B20" i="3" s="1"/>
  <c r="G18" i="8" l="1"/>
  <c r="E19" i="8" s="1"/>
  <c r="H18" i="8" l="1"/>
  <c r="F19" i="8"/>
  <c r="B21" i="3" s="1"/>
  <c r="G19" i="8" l="1"/>
  <c r="E20" i="8" l="1"/>
  <c r="H19" i="8"/>
  <c r="F20" i="8" l="1"/>
  <c r="B22" i="3" s="1"/>
  <c r="G20" i="8" l="1"/>
  <c r="E21" i="8" l="1"/>
  <c r="H20" i="8"/>
  <c r="F21" i="8" l="1"/>
  <c r="B23" i="3" s="1"/>
  <c r="G21" i="8" l="1"/>
  <c r="E22" i="8" l="1"/>
  <c r="H21" i="8"/>
  <c r="F22" i="8" l="1"/>
  <c r="B24" i="3" s="1"/>
  <c r="G22" i="8" l="1"/>
  <c r="E23" i="8" l="1"/>
  <c r="H22" i="8"/>
  <c r="F23" i="8" l="1"/>
  <c r="B25" i="3" s="1"/>
  <c r="G23" i="8" l="1"/>
  <c r="E24" i="8" l="1"/>
  <c r="H23" i="8"/>
  <c r="F24" i="8" l="1"/>
  <c r="B26" i="3" s="1"/>
  <c r="G24" i="8" l="1"/>
  <c r="D34" i="5"/>
  <c r="D35" i="5"/>
  <c r="D36" i="5"/>
  <c r="D37" i="5"/>
  <c r="D38" i="5"/>
  <c r="D39" i="5"/>
  <c r="D40" i="5"/>
  <c r="D41" i="5"/>
  <c r="D42" i="5"/>
  <c r="D43" i="5"/>
  <c r="F5" i="5"/>
  <c r="D6" i="12" s="1"/>
  <c r="E6" i="12" s="1"/>
  <c r="F6" i="5"/>
  <c r="D7" i="12" s="1"/>
  <c r="E7" i="12" s="1"/>
  <c r="F7" i="5"/>
  <c r="D8" i="12" s="1"/>
  <c r="E8" i="12" s="1"/>
  <c r="F8" i="5"/>
  <c r="D9" i="12" s="1"/>
  <c r="E9" i="12" s="1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E25" i="8" l="1"/>
  <c r="H24" i="8"/>
  <c r="C4" i="5"/>
  <c r="C5" i="12" s="1"/>
  <c r="F4" i="5"/>
  <c r="D5" i="12" s="1"/>
  <c r="E5" i="12" s="1"/>
  <c r="D9" i="5"/>
  <c r="C9" i="5"/>
  <c r="D12" i="5"/>
  <c r="D8" i="5"/>
  <c r="C8" i="5"/>
  <c r="C9" i="12" s="1"/>
  <c r="D11" i="5"/>
  <c r="D7" i="5"/>
  <c r="C7" i="5"/>
  <c r="C8" i="12" s="1"/>
  <c r="D5" i="5"/>
  <c r="C5" i="5"/>
  <c r="C6" i="12" s="1"/>
  <c r="D10" i="5"/>
  <c r="C6" i="5"/>
  <c r="C7" i="12" s="1"/>
  <c r="D6" i="5"/>
  <c r="D4" i="5"/>
  <c r="E4" i="5" s="1"/>
  <c r="C10" i="5" l="1"/>
  <c r="C10" i="12"/>
  <c r="F5" i="12"/>
  <c r="F6" i="12" s="1"/>
  <c r="F7" i="12" s="1"/>
  <c r="F8" i="12" s="1"/>
  <c r="F9" i="12" s="1"/>
  <c r="F25" i="8"/>
  <c r="B27" i="3" s="1"/>
  <c r="G4" i="5"/>
  <c r="E6" i="3"/>
  <c r="J10" i="12" l="1"/>
  <c r="K10" i="12" s="1"/>
  <c r="G10" i="12"/>
  <c r="H10" i="12" s="1"/>
  <c r="I10" i="12" s="1"/>
  <c r="C11" i="5"/>
  <c r="C11" i="12"/>
  <c r="G25" i="8"/>
  <c r="E5" i="5"/>
  <c r="C12" i="5" l="1"/>
  <c r="C12" i="12"/>
  <c r="J11" i="12"/>
  <c r="K11" i="12" s="1"/>
  <c r="G11" i="12"/>
  <c r="H11" i="12" s="1"/>
  <c r="I11" i="12" s="1"/>
  <c r="L10" i="12"/>
  <c r="E26" i="8"/>
  <c r="H25" i="8"/>
  <c r="E7" i="3"/>
  <c r="F7" i="3" s="1"/>
  <c r="G5" i="5"/>
  <c r="H5" i="5" s="1"/>
  <c r="F6" i="3"/>
  <c r="L11" i="12" l="1"/>
  <c r="J12" i="12"/>
  <c r="K12" i="12" s="1"/>
  <c r="G12" i="12"/>
  <c r="H12" i="12" s="1"/>
  <c r="I12" i="12" s="1"/>
  <c r="C13" i="5"/>
  <c r="C13" i="12"/>
  <c r="F26" i="8"/>
  <c r="B28" i="3" s="1"/>
  <c r="E6" i="5"/>
  <c r="G6" i="5" s="1"/>
  <c r="H6" i="5" s="1"/>
  <c r="G6" i="3"/>
  <c r="E8" i="3"/>
  <c r="J13" i="12" l="1"/>
  <c r="K13" i="12" s="1"/>
  <c r="G13" i="12"/>
  <c r="H13" i="12" s="1"/>
  <c r="I13" i="12" s="1"/>
  <c r="C14" i="5"/>
  <c r="C14" i="12"/>
  <c r="L12" i="12"/>
  <c r="G26" i="8"/>
  <c r="E7" i="5"/>
  <c r="G7" i="5" s="1"/>
  <c r="H7" i="5" s="1"/>
  <c r="G7" i="3"/>
  <c r="E9" i="3"/>
  <c r="F9" i="3" s="1"/>
  <c r="F8" i="3"/>
  <c r="L13" i="12" l="1"/>
  <c r="G14" i="12"/>
  <c r="H14" i="12" s="1"/>
  <c r="I14" i="12" s="1"/>
  <c r="J14" i="12"/>
  <c r="K14" i="12" s="1"/>
  <c r="C15" i="5"/>
  <c r="C15" i="12"/>
  <c r="E27" i="8"/>
  <c r="H26" i="8"/>
  <c r="E8" i="5"/>
  <c r="G8" i="5" s="1"/>
  <c r="H8" i="5" s="1"/>
  <c r="G8" i="3"/>
  <c r="G9" i="3" s="1"/>
  <c r="E10" i="3"/>
  <c r="J15" i="12" l="1"/>
  <c r="K15" i="12" s="1"/>
  <c r="G15" i="12"/>
  <c r="H15" i="12" s="1"/>
  <c r="I15" i="12" s="1"/>
  <c r="C16" i="5"/>
  <c r="C16" i="12"/>
  <c r="L14" i="12"/>
  <c r="F27" i="8"/>
  <c r="B29" i="3" s="1"/>
  <c r="E9" i="5"/>
  <c r="F9" i="5" s="1"/>
  <c r="F10" i="3"/>
  <c r="G9" i="5" l="1"/>
  <c r="H9" i="5" s="1"/>
  <c r="D10" i="12"/>
  <c r="E10" i="12" s="1"/>
  <c r="L15" i="12"/>
  <c r="J16" i="12"/>
  <c r="K16" i="12" s="1"/>
  <c r="G16" i="12"/>
  <c r="H16" i="12" s="1"/>
  <c r="I16" i="12" s="1"/>
  <c r="C17" i="5"/>
  <c r="C17" i="12"/>
  <c r="G27" i="8"/>
  <c r="G10" i="3"/>
  <c r="E11" i="3"/>
  <c r="F11" i="3" s="1"/>
  <c r="C18" i="5" l="1"/>
  <c r="C18" i="12"/>
  <c r="L16" i="12"/>
  <c r="J17" i="12"/>
  <c r="K17" i="12" s="1"/>
  <c r="G17" i="12"/>
  <c r="H17" i="12" s="1"/>
  <c r="I17" i="12" s="1"/>
  <c r="F10" i="12"/>
  <c r="E10" i="5"/>
  <c r="E28" i="8"/>
  <c r="H27" i="8"/>
  <c r="G11" i="3"/>
  <c r="F10" i="5"/>
  <c r="G10" i="5" l="1"/>
  <c r="H10" i="5" s="1"/>
  <c r="D11" i="12"/>
  <c r="E11" i="12" s="1"/>
  <c r="L17" i="12"/>
  <c r="J18" i="12"/>
  <c r="K18" i="12" s="1"/>
  <c r="G18" i="12"/>
  <c r="H18" i="12" s="1"/>
  <c r="I18" i="12" s="1"/>
  <c r="F11" i="12"/>
  <c r="C19" i="5"/>
  <c r="C19" i="12"/>
  <c r="E12" i="3"/>
  <c r="F12" i="3" s="1"/>
  <c r="G12" i="3" s="1"/>
  <c r="F28" i="8"/>
  <c r="B30" i="3" s="1"/>
  <c r="E11" i="5"/>
  <c r="C20" i="5" l="1"/>
  <c r="C20" i="12"/>
  <c r="L18" i="12"/>
  <c r="J19" i="12"/>
  <c r="K19" i="12" s="1"/>
  <c r="G19" i="12"/>
  <c r="H19" i="12" s="1"/>
  <c r="I19" i="12" s="1"/>
  <c r="G28" i="8"/>
  <c r="F11" i="5"/>
  <c r="L19" i="12" l="1"/>
  <c r="C21" i="5"/>
  <c r="C21" i="12"/>
  <c r="G11" i="5"/>
  <c r="H11" i="5" s="1"/>
  <c r="D12" i="12"/>
  <c r="E12" i="12" s="1"/>
  <c r="J20" i="12"/>
  <c r="K20" i="12" s="1"/>
  <c r="G20" i="12"/>
  <c r="H20" i="12" s="1"/>
  <c r="I20" i="12" s="1"/>
  <c r="E29" i="8"/>
  <c r="H28" i="8"/>
  <c r="E13" i="3"/>
  <c r="F13" i="3" s="1"/>
  <c r="F12" i="12" l="1"/>
  <c r="E12" i="5"/>
  <c r="J21" i="12"/>
  <c r="K21" i="12" s="1"/>
  <c r="G21" i="12"/>
  <c r="H21" i="12" s="1"/>
  <c r="I21" i="12" s="1"/>
  <c r="C22" i="5"/>
  <c r="C22" i="12"/>
  <c r="L20" i="12"/>
  <c r="F29" i="8"/>
  <c r="B31" i="3" s="1"/>
  <c r="G13" i="3"/>
  <c r="F12" i="5"/>
  <c r="J22" i="12" l="1"/>
  <c r="K22" i="12" s="1"/>
  <c r="G22" i="12"/>
  <c r="H22" i="12" s="1"/>
  <c r="I22" i="12" s="1"/>
  <c r="C23" i="5"/>
  <c r="C23" i="12"/>
  <c r="G12" i="5"/>
  <c r="H12" i="5" s="1"/>
  <c r="D13" i="12"/>
  <c r="E13" i="12" s="1"/>
  <c r="F13" i="12" s="1"/>
  <c r="L21" i="12"/>
  <c r="G29" i="8"/>
  <c r="E14" i="3"/>
  <c r="F14" i="3" s="1"/>
  <c r="J23" i="12" l="1"/>
  <c r="K23" i="12" s="1"/>
  <c r="G23" i="12"/>
  <c r="H23" i="12" s="1"/>
  <c r="I23" i="12" s="1"/>
  <c r="C24" i="5"/>
  <c r="C24" i="12"/>
  <c r="E13" i="5"/>
  <c r="F13" i="5" s="1"/>
  <c r="L22" i="12"/>
  <c r="L23" i="12" s="1"/>
  <c r="E30" i="8"/>
  <c r="H29" i="8"/>
  <c r="G14" i="3"/>
  <c r="G13" i="5" l="1"/>
  <c r="H13" i="5" s="1"/>
  <c r="D14" i="12"/>
  <c r="E14" i="12" s="1"/>
  <c r="F14" i="12" s="1"/>
  <c r="J24" i="12"/>
  <c r="K24" i="12" s="1"/>
  <c r="G24" i="12"/>
  <c r="H24" i="12" s="1"/>
  <c r="I24" i="12" s="1"/>
  <c r="C25" i="5"/>
  <c r="C25" i="12"/>
  <c r="L24" i="12"/>
  <c r="F30" i="8"/>
  <c r="B32" i="3" s="1"/>
  <c r="E15" i="3"/>
  <c r="F15" i="3" s="1"/>
  <c r="E14" i="5"/>
  <c r="C26" i="5" l="1"/>
  <c r="C26" i="12"/>
  <c r="J25" i="12"/>
  <c r="K25" i="12" s="1"/>
  <c r="P7" i="12" s="1"/>
  <c r="G25" i="12"/>
  <c r="H25" i="12" s="1"/>
  <c r="P6" i="12" s="1"/>
  <c r="G30" i="8"/>
  <c r="E31" i="8" s="1"/>
  <c r="G15" i="3"/>
  <c r="F14" i="5"/>
  <c r="C27" i="5" l="1"/>
  <c r="C27" i="12"/>
  <c r="L25" i="12"/>
  <c r="L26" i="12" s="1"/>
  <c r="L27" i="12" s="1"/>
  <c r="L28" i="12" s="1"/>
  <c r="L29" i="12" s="1"/>
  <c r="L30" i="12" s="1"/>
  <c r="L31" i="12" s="1"/>
  <c r="L32" i="12" s="1"/>
  <c r="L33" i="12" s="1"/>
  <c r="L34" i="12" s="1"/>
  <c r="L35" i="12" s="1"/>
  <c r="L36" i="12" s="1"/>
  <c r="L37" i="12" s="1"/>
  <c r="L38" i="12" s="1"/>
  <c r="L39" i="12" s="1"/>
  <c r="L40" i="12" s="1"/>
  <c r="L41" i="12" s="1"/>
  <c r="L42" i="12" s="1"/>
  <c r="L43" i="12" s="1"/>
  <c r="L44" i="12" s="1"/>
  <c r="G14" i="5"/>
  <c r="H14" i="5" s="1"/>
  <c r="D15" i="12"/>
  <c r="E15" i="12" s="1"/>
  <c r="F15" i="12" s="1"/>
  <c r="I25" i="12"/>
  <c r="I26" i="12" s="1"/>
  <c r="I27" i="12" s="1"/>
  <c r="I28" i="12" s="1"/>
  <c r="I29" i="12" s="1"/>
  <c r="I30" i="12" s="1"/>
  <c r="I31" i="12" s="1"/>
  <c r="I32" i="12" s="1"/>
  <c r="I33" i="12" s="1"/>
  <c r="I34" i="12" s="1"/>
  <c r="I35" i="12" s="1"/>
  <c r="I36" i="12" s="1"/>
  <c r="I37" i="12" s="1"/>
  <c r="I38" i="12" s="1"/>
  <c r="I39" i="12" s="1"/>
  <c r="I40" i="12" s="1"/>
  <c r="I41" i="12" s="1"/>
  <c r="I42" i="12" s="1"/>
  <c r="I43" i="12" s="1"/>
  <c r="I44" i="12" s="1"/>
  <c r="H30" i="8"/>
  <c r="F31" i="8"/>
  <c r="B33" i="3" s="1"/>
  <c r="E16" i="3"/>
  <c r="F16" i="3" s="1"/>
  <c r="E15" i="5" l="1"/>
  <c r="C28" i="5"/>
  <c r="C28" i="12"/>
  <c r="G31" i="8"/>
  <c r="G16" i="3"/>
  <c r="F15" i="5"/>
  <c r="G15" i="5" l="1"/>
  <c r="H15" i="5" s="1"/>
  <c r="D16" i="12"/>
  <c r="E16" i="12" s="1"/>
  <c r="F16" i="12" s="1"/>
  <c r="C29" i="5"/>
  <c r="C29" i="12"/>
  <c r="E32" i="8"/>
  <c r="H31" i="8"/>
  <c r="E17" i="3"/>
  <c r="F17" i="3" s="1"/>
  <c r="E16" i="5"/>
  <c r="C30" i="5" l="1"/>
  <c r="C30" i="12"/>
  <c r="F32" i="8"/>
  <c r="B34" i="3" s="1"/>
  <c r="G17" i="3"/>
  <c r="F16" i="5"/>
  <c r="G16" i="5" l="1"/>
  <c r="H16" i="5" s="1"/>
  <c r="D17" i="12"/>
  <c r="E17" i="12" s="1"/>
  <c r="F17" i="12" s="1"/>
  <c r="C31" i="5"/>
  <c r="C31" i="12"/>
  <c r="G32" i="8"/>
  <c r="E18" i="3"/>
  <c r="F18" i="3" s="1"/>
  <c r="E17" i="5"/>
  <c r="C32" i="5" l="1"/>
  <c r="C32" i="12"/>
  <c r="E33" i="8"/>
  <c r="H32" i="8"/>
  <c r="G18" i="3"/>
  <c r="F17" i="5"/>
  <c r="G17" i="5" l="1"/>
  <c r="H17" i="5" s="1"/>
  <c r="D18" i="12"/>
  <c r="E18" i="12" s="1"/>
  <c r="F18" i="12" s="1"/>
  <c r="C33" i="5"/>
  <c r="C33" i="12"/>
  <c r="F33" i="8"/>
  <c r="B35" i="3" s="1"/>
  <c r="E19" i="3"/>
  <c r="F19" i="3" s="1"/>
  <c r="E18" i="5"/>
  <c r="C34" i="5" l="1"/>
  <c r="C34" i="12"/>
  <c r="G33" i="8"/>
  <c r="G19" i="3"/>
  <c r="F18" i="5"/>
  <c r="G18" i="5" l="1"/>
  <c r="H18" i="5" s="1"/>
  <c r="D19" i="12"/>
  <c r="E19" i="12" s="1"/>
  <c r="F19" i="12" s="1"/>
  <c r="C35" i="5"/>
  <c r="C35" i="12"/>
  <c r="E34" i="8"/>
  <c r="H33" i="8"/>
  <c r="E20" i="3"/>
  <c r="F20" i="3" s="1"/>
  <c r="E19" i="5"/>
  <c r="C36" i="5" l="1"/>
  <c r="C36" i="12"/>
  <c r="F34" i="8"/>
  <c r="B36" i="3" s="1"/>
  <c r="G20" i="3"/>
  <c r="F19" i="5"/>
  <c r="G19" i="5" l="1"/>
  <c r="H19" i="5" s="1"/>
  <c r="D20" i="12"/>
  <c r="E20" i="12" s="1"/>
  <c r="F20" i="12" s="1"/>
  <c r="C37" i="5"/>
  <c r="C37" i="12"/>
  <c r="G34" i="8"/>
  <c r="E21" i="3"/>
  <c r="F21" i="3" s="1"/>
  <c r="E20" i="5"/>
  <c r="C38" i="5" l="1"/>
  <c r="C38" i="12"/>
  <c r="E35" i="8"/>
  <c r="H34" i="8"/>
  <c r="G21" i="3"/>
  <c r="F20" i="5"/>
  <c r="G20" i="5" l="1"/>
  <c r="H20" i="5" s="1"/>
  <c r="D21" i="12"/>
  <c r="E21" i="12" s="1"/>
  <c r="F21" i="12" s="1"/>
  <c r="C39" i="5"/>
  <c r="C39" i="12"/>
  <c r="F35" i="8"/>
  <c r="B37" i="3" s="1"/>
  <c r="E22" i="3"/>
  <c r="F22" i="3" s="1"/>
  <c r="E21" i="5"/>
  <c r="C40" i="5" l="1"/>
  <c r="C40" i="12"/>
  <c r="G35" i="8"/>
  <c r="G22" i="3"/>
  <c r="F21" i="5"/>
  <c r="G21" i="5" l="1"/>
  <c r="H21" i="5" s="1"/>
  <c r="D22" i="12"/>
  <c r="E22" i="12" s="1"/>
  <c r="F22" i="12" s="1"/>
  <c r="C41" i="5"/>
  <c r="C41" i="12"/>
  <c r="E36" i="8"/>
  <c r="H35" i="8"/>
  <c r="E23" i="3"/>
  <c r="F23" i="3" s="1"/>
  <c r="E22" i="5"/>
  <c r="C42" i="5" l="1"/>
  <c r="C42" i="12"/>
  <c r="F36" i="8"/>
  <c r="B38" i="3" s="1"/>
  <c r="G23" i="3"/>
  <c r="F22" i="5"/>
  <c r="G22" i="5" l="1"/>
  <c r="H22" i="5" s="1"/>
  <c r="D23" i="12"/>
  <c r="E23" i="12" s="1"/>
  <c r="F23" i="12" s="1"/>
  <c r="C43" i="5"/>
  <c r="C44" i="12" s="1"/>
  <c r="C43" i="12"/>
  <c r="G36" i="8"/>
  <c r="E24" i="3"/>
  <c r="F24" i="3" s="1"/>
  <c r="E23" i="5"/>
  <c r="E37" i="8" l="1"/>
  <c r="H36" i="8"/>
  <c r="G24" i="3"/>
  <c r="F23" i="5"/>
  <c r="G23" i="5" l="1"/>
  <c r="H23" i="5" s="1"/>
  <c r="D24" i="12"/>
  <c r="E24" i="12" s="1"/>
  <c r="F24" i="12" s="1"/>
  <c r="F37" i="8"/>
  <c r="B39" i="3" s="1"/>
  <c r="E25" i="3"/>
  <c r="F25" i="3" s="1"/>
  <c r="E24" i="5"/>
  <c r="G37" i="8" l="1"/>
  <c r="G25" i="3"/>
  <c r="F24" i="5"/>
  <c r="G24" i="5" l="1"/>
  <c r="H24" i="5" s="1"/>
  <c r="D25" i="12"/>
  <c r="E25" i="12" s="1"/>
  <c r="F25" i="12" s="1"/>
  <c r="E38" i="8"/>
  <c r="H37" i="8"/>
  <c r="E26" i="3"/>
  <c r="F26" i="3" s="1"/>
  <c r="E25" i="5"/>
  <c r="F38" i="8" l="1"/>
  <c r="B40" i="3" s="1"/>
  <c r="G26" i="3"/>
  <c r="F25" i="5"/>
  <c r="G25" i="5" l="1"/>
  <c r="H25" i="5" s="1"/>
  <c r="D26" i="12"/>
  <c r="E26" i="12" s="1"/>
  <c r="F26" i="12" s="1"/>
  <c r="G38" i="8"/>
  <c r="E27" i="3"/>
  <c r="F27" i="3" s="1"/>
  <c r="E26" i="5"/>
  <c r="E39" i="8" l="1"/>
  <c r="H38" i="8"/>
  <c r="G27" i="3"/>
  <c r="F26" i="5"/>
  <c r="G26" i="5" l="1"/>
  <c r="H26" i="5" s="1"/>
  <c r="D27" i="12"/>
  <c r="E27" i="12" s="1"/>
  <c r="F27" i="12" s="1"/>
  <c r="F39" i="8"/>
  <c r="B41" i="3" s="1"/>
  <c r="E28" i="3"/>
  <c r="F28" i="3" s="1"/>
  <c r="E27" i="5" l="1"/>
  <c r="G39" i="8"/>
  <c r="E40" i="8" s="1"/>
  <c r="G28" i="3"/>
  <c r="F27" i="5"/>
  <c r="G27" i="5" l="1"/>
  <c r="H27" i="5" s="1"/>
  <c r="D28" i="12"/>
  <c r="E28" i="12" s="1"/>
  <c r="F28" i="12" s="1"/>
  <c r="H39" i="8"/>
  <c r="F40" i="8"/>
  <c r="B42" i="3" s="1"/>
  <c r="E29" i="3"/>
  <c r="F29" i="3" s="1"/>
  <c r="E28" i="5"/>
  <c r="G40" i="8" l="1"/>
  <c r="G29" i="3"/>
  <c r="F28" i="5"/>
  <c r="G28" i="5" l="1"/>
  <c r="H28" i="5" s="1"/>
  <c r="D29" i="12"/>
  <c r="E29" i="12" s="1"/>
  <c r="F29" i="12" s="1"/>
  <c r="E41" i="8"/>
  <c r="H40" i="8"/>
  <c r="E30" i="3"/>
  <c r="F30" i="3" s="1"/>
  <c r="E29" i="5"/>
  <c r="F41" i="8" l="1"/>
  <c r="B43" i="3" s="1"/>
  <c r="G30" i="3"/>
  <c r="F29" i="5"/>
  <c r="G29" i="5" l="1"/>
  <c r="H29" i="5" s="1"/>
  <c r="D30" i="12"/>
  <c r="E30" i="12" s="1"/>
  <c r="F30" i="12" s="1"/>
  <c r="G41" i="8"/>
  <c r="E31" i="3"/>
  <c r="E30" i="5"/>
  <c r="E42" i="8" l="1"/>
  <c r="H41" i="8"/>
  <c r="F30" i="5"/>
  <c r="F31" i="3"/>
  <c r="C7" i="3"/>
  <c r="H7" i="3" s="1"/>
  <c r="I7" i="3" s="1"/>
  <c r="C6" i="3"/>
  <c r="G30" i="5" l="1"/>
  <c r="H30" i="5" s="1"/>
  <c r="D31" i="12"/>
  <c r="E31" i="12" s="1"/>
  <c r="F31" i="12" s="1"/>
  <c r="F42" i="8"/>
  <c r="B44" i="3" s="1"/>
  <c r="D6" i="3"/>
  <c r="J6" i="3" s="1"/>
  <c r="H6" i="3"/>
  <c r="I6" i="3" s="1"/>
  <c r="G31" i="3"/>
  <c r="E31" i="5"/>
  <c r="E32" i="3"/>
  <c r="C9" i="3"/>
  <c r="H9" i="3" s="1"/>
  <c r="I9" i="3" s="1"/>
  <c r="C8" i="3"/>
  <c r="H8" i="3" s="1"/>
  <c r="I8" i="3" s="1"/>
  <c r="D7" i="3" l="1"/>
  <c r="J7" i="3" s="1"/>
  <c r="G42" i="8"/>
  <c r="F32" i="3"/>
  <c r="F31" i="5"/>
  <c r="D8" i="3"/>
  <c r="G31" i="5" l="1"/>
  <c r="H31" i="5" s="1"/>
  <c r="D32" i="12"/>
  <c r="E32" i="12" s="1"/>
  <c r="F32" i="12" s="1"/>
  <c r="E43" i="8"/>
  <c r="H42" i="8"/>
  <c r="D9" i="3"/>
  <c r="J9" i="3" s="1"/>
  <c r="J8" i="3"/>
  <c r="E33" i="3"/>
  <c r="E32" i="5"/>
  <c r="G32" i="3"/>
  <c r="C10" i="3"/>
  <c r="C11" i="3"/>
  <c r="H11" i="3" s="1"/>
  <c r="I11" i="3" s="1"/>
  <c r="F43" i="8" l="1"/>
  <c r="B45" i="3" s="1"/>
  <c r="D10" i="3"/>
  <c r="J10" i="3" s="1"/>
  <c r="H10" i="3"/>
  <c r="I10" i="3" s="1"/>
  <c r="F32" i="5"/>
  <c r="F33" i="3"/>
  <c r="D11" i="3"/>
  <c r="J11" i="3" s="1"/>
  <c r="C12" i="3"/>
  <c r="H12" i="3" s="1"/>
  <c r="I12" i="3" s="1"/>
  <c r="G32" i="5" l="1"/>
  <c r="H32" i="5" s="1"/>
  <c r="D33" i="12"/>
  <c r="E33" i="12" s="1"/>
  <c r="F33" i="12" s="1"/>
  <c r="G43" i="8"/>
  <c r="H43" i="8" s="1"/>
  <c r="G33" i="3"/>
  <c r="E33" i="5"/>
  <c r="E34" i="3"/>
  <c r="D12" i="3"/>
  <c r="J12" i="3" s="1"/>
  <c r="F34" i="3" l="1"/>
  <c r="F33" i="5"/>
  <c r="C13" i="3"/>
  <c r="G33" i="5" l="1"/>
  <c r="H33" i="5" s="1"/>
  <c r="D34" i="12"/>
  <c r="E34" i="12" s="1"/>
  <c r="F34" i="12" s="1"/>
  <c r="D13" i="3"/>
  <c r="J13" i="3" s="1"/>
  <c r="H13" i="3"/>
  <c r="I13" i="3" s="1"/>
  <c r="E35" i="3"/>
  <c r="E34" i="5"/>
  <c r="G34" i="3"/>
  <c r="C14" i="3"/>
  <c r="D14" i="3" l="1"/>
  <c r="J14" i="3" s="1"/>
  <c r="H14" i="3"/>
  <c r="I14" i="3" s="1"/>
  <c r="F34" i="5"/>
  <c r="F35" i="3"/>
  <c r="C15" i="3"/>
  <c r="E36" i="3" l="1"/>
  <c r="F36" i="3" s="1"/>
  <c r="D35" i="12"/>
  <c r="E35" i="12" s="1"/>
  <c r="F35" i="12" s="1"/>
  <c r="D15" i="3"/>
  <c r="J15" i="3" s="1"/>
  <c r="H15" i="3"/>
  <c r="I15" i="3" s="1"/>
  <c r="G34" i="5"/>
  <c r="H34" i="5" s="1"/>
  <c r="G35" i="3"/>
  <c r="C16" i="3"/>
  <c r="D16" i="3" l="1"/>
  <c r="J16" i="3" s="1"/>
  <c r="H16" i="3"/>
  <c r="I16" i="3" s="1"/>
  <c r="E35" i="5"/>
  <c r="F35" i="5" s="1"/>
  <c r="G36" i="3"/>
  <c r="C17" i="3"/>
  <c r="E37" i="3" l="1"/>
  <c r="F37" i="3" s="1"/>
  <c r="D36" i="12"/>
  <c r="E36" i="12" s="1"/>
  <c r="F36" i="12" s="1"/>
  <c r="D17" i="3"/>
  <c r="J17" i="3" s="1"/>
  <c r="H17" i="3"/>
  <c r="I17" i="3" s="1"/>
  <c r="G37" i="3"/>
  <c r="G35" i="5"/>
  <c r="H35" i="5" s="1"/>
  <c r="C18" i="3"/>
  <c r="E36" i="5" l="1"/>
  <c r="F36" i="5" s="1"/>
  <c r="D18" i="3"/>
  <c r="J18" i="3" s="1"/>
  <c r="H18" i="3"/>
  <c r="I18" i="3" s="1"/>
  <c r="C19" i="3"/>
  <c r="E38" i="3" l="1"/>
  <c r="F38" i="3" s="1"/>
  <c r="D37" i="12"/>
  <c r="E37" i="12" s="1"/>
  <c r="F37" i="12" s="1"/>
  <c r="D19" i="3"/>
  <c r="J19" i="3" s="1"/>
  <c r="H19" i="3"/>
  <c r="I19" i="3" s="1"/>
  <c r="G38" i="3"/>
  <c r="G36" i="5"/>
  <c r="H36" i="5" s="1"/>
  <c r="E37" i="5"/>
  <c r="C20" i="3"/>
  <c r="D20" i="3" l="1"/>
  <c r="J20" i="3" s="1"/>
  <c r="H20" i="3"/>
  <c r="I20" i="3" s="1"/>
  <c r="F37" i="5"/>
  <c r="C21" i="3"/>
  <c r="G37" i="5" l="1"/>
  <c r="H37" i="5" s="1"/>
  <c r="D38" i="12"/>
  <c r="E38" i="12" s="1"/>
  <c r="F38" i="12" s="1"/>
  <c r="D21" i="3"/>
  <c r="J21" i="3" s="1"/>
  <c r="H21" i="3"/>
  <c r="I21" i="3" s="1"/>
  <c r="E38" i="5"/>
  <c r="E39" i="3"/>
  <c r="F39" i="3" s="1"/>
  <c r="C22" i="3"/>
  <c r="D22" i="3" l="1"/>
  <c r="J22" i="3" s="1"/>
  <c r="H22" i="3"/>
  <c r="I22" i="3" s="1"/>
  <c r="G39" i="3"/>
  <c r="F38" i="5"/>
  <c r="C23" i="3"/>
  <c r="G38" i="5" l="1"/>
  <c r="H38" i="5" s="1"/>
  <c r="D39" i="12"/>
  <c r="E39" i="12" s="1"/>
  <c r="F39" i="12" s="1"/>
  <c r="D23" i="3"/>
  <c r="J23" i="3" s="1"/>
  <c r="H23" i="3"/>
  <c r="I23" i="3" s="1"/>
  <c r="E39" i="5"/>
  <c r="E40" i="3"/>
  <c r="F40" i="3" s="1"/>
  <c r="C24" i="3"/>
  <c r="D24" i="3" l="1"/>
  <c r="J24" i="3" s="1"/>
  <c r="H24" i="3"/>
  <c r="I24" i="3" s="1"/>
  <c r="G40" i="3"/>
  <c r="F39" i="5"/>
  <c r="C25" i="3"/>
  <c r="G39" i="5" l="1"/>
  <c r="H39" i="5" s="1"/>
  <c r="D40" i="12"/>
  <c r="E40" i="12" s="1"/>
  <c r="F40" i="12" s="1"/>
  <c r="D25" i="3"/>
  <c r="J25" i="3" s="1"/>
  <c r="H25" i="3"/>
  <c r="I25" i="3" s="1"/>
  <c r="E40" i="5"/>
  <c r="E41" i="3"/>
  <c r="F41" i="3" s="1"/>
  <c r="C26" i="3"/>
  <c r="D26" i="3" l="1"/>
  <c r="J26" i="3" s="1"/>
  <c r="H26" i="3"/>
  <c r="I26" i="3" s="1"/>
  <c r="G41" i="3"/>
  <c r="F40" i="5"/>
  <c r="C27" i="3"/>
  <c r="E42" i="3" l="1"/>
  <c r="F42" i="3" s="1"/>
  <c r="G42" i="3" s="1"/>
  <c r="D41" i="12"/>
  <c r="E41" i="12" s="1"/>
  <c r="F41" i="12" s="1"/>
  <c r="D27" i="3"/>
  <c r="J27" i="3" s="1"/>
  <c r="H27" i="3"/>
  <c r="I27" i="3" s="1"/>
  <c r="G40" i="5"/>
  <c r="C28" i="3"/>
  <c r="D28" i="3" l="1"/>
  <c r="J28" i="3" s="1"/>
  <c r="H28" i="3"/>
  <c r="I28" i="3" s="1"/>
  <c r="E41" i="5"/>
  <c r="F41" i="5" s="1"/>
  <c r="H40" i="5"/>
  <c r="C29" i="3"/>
  <c r="E43" i="3" l="1"/>
  <c r="F43" i="3" s="1"/>
  <c r="G43" i="3" s="1"/>
  <c r="D42" i="12"/>
  <c r="E42" i="12" s="1"/>
  <c r="F42" i="12" s="1"/>
  <c r="D29" i="3"/>
  <c r="J29" i="3" s="1"/>
  <c r="H29" i="3"/>
  <c r="I29" i="3" s="1"/>
  <c r="G41" i="5"/>
  <c r="C30" i="3"/>
  <c r="D30" i="3" l="1"/>
  <c r="J30" i="3" s="1"/>
  <c r="H30" i="3"/>
  <c r="I30" i="3" s="1"/>
  <c r="H41" i="5"/>
  <c r="E42" i="5"/>
  <c r="F42" i="5" s="1"/>
  <c r="C31" i="3"/>
  <c r="E44" i="3" l="1"/>
  <c r="F44" i="3" s="1"/>
  <c r="D43" i="12"/>
  <c r="E43" i="12" s="1"/>
  <c r="F43" i="12" s="1"/>
  <c r="D31" i="3"/>
  <c r="J31" i="3" s="1"/>
  <c r="H31" i="3"/>
  <c r="I31" i="3" s="1"/>
  <c r="G42" i="5"/>
  <c r="G44" i="3"/>
  <c r="C32" i="3"/>
  <c r="D32" i="3" l="1"/>
  <c r="J32" i="3" s="1"/>
  <c r="H32" i="3"/>
  <c r="I32" i="3" s="1"/>
  <c r="E43" i="5"/>
  <c r="H42" i="5"/>
  <c r="C33" i="3"/>
  <c r="D33" i="3" l="1"/>
  <c r="J33" i="3" s="1"/>
  <c r="H33" i="3"/>
  <c r="I33" i="3" s="1"/>
  <c r="F43" i="5"/>
  <c r="C34" i="3"/>
  <c r="E45" i="3" l="1"/>
  <c r="D44" i="12"/>
  <c r="E44" i="12" s="1"/>
  <c r="D34" i="3"/>
  <c r="J34" i="3" s="1"/>
  <c r="H34" i="3"/>
  <c r="I34" i="3" s="1"/>
  <c r="F45" i="3"/>
  <c r="E3" i="3"/>
  <c r="G43" i="5"/>
  <c r="H43" i="5" s="1"/>
  <c r="C35" i="3"/>
  <c r="P5" i="12" l="1"/>
  <c r="Q7" i="12" s="1"/>
  <c r="R7" i="12" s="1"/>
  <c r="F44" i="12"/>
  <c r="D35" i="3"/>
  <c r="J35" i="3" s="1"/>
  <c r="H35" i="3"/>
  <c r="I35" i="3" s="1"/>
  <c r="G45" i="3"/>
  <c r="F3" i="3"/>
  <c r="C36" i="3"/>
  <c r="F2" i="3" l="1"/>
  <c r="D36" i="3"/>
  <c r="J36" i="3" s="1"/>
  <c r="H36" i="3"/>
  <c r="I36" i="3" s="1"/>
  <c r="C37" i="3"/>
  <c r="D37" i="3" l="1"/>
  <c r="J37" i="3" s="1"/>
  <c r="H37" i="3"/>
  <c r="I37" i="3" s="1"/>
  <c r="C38" i="3"/>
  <c r="D38" i="3" l="1"/>
  <c r="J38" i="3" s="1"/>
  <c r="H38" i="3"/>
  <c r="I38" i="3" s="1"/>
  <c r="C39" i="3"/>
  <c r="D39" i="3" l="1"/>
  <c r="J39" i="3" s="1"/>
  <c r="H39" i="3"/>
  <c r="I39" i="3" s="1"/>
  <c r="C40" i="3"/>
  <c r="D40" i="3" l="1"/>
  <c r="J40" i="3" s="1"/>
  <c r="H40" i="3"/>
  <c r="I40" i="3" s="1"/>
  <c r="C41" i="3"/>
  <c r="D41" i="3" l="1"/>
  <c r="J41" i="3" s="1"/>
  <c r="H41" i="3"/>
  <c r="I41" i="3" s="1"/>
  <c r="C42" i="3"/>
  <c r="D42" i="3" l="1"/>
  <c r="J42" i="3" s="1"/>
  <c r="H42" i="3"/>
  <c r="I42" i="3" s="1"/>
  <c r="C43" i="3"/>
  <c r="D43" i="3" l="1"/>
  <c r="J43" i="3" s="1"/>
  <c r="H43" i="3"/>
  <c r="I43" i="3" s="1"/>
  <c r="C44" i="3"/>
  <c r="D44" i="3" l="1"/>
  <c r="J44" i="3" s="1"/>
  <c r="H44" i="3"/>
  <c r="I44" i="3" s="1"/>
  <c r="C45" i="3"/>
  <c r="H45" i="3" s="1"/>
  <c r="I45" i="3" s="1"/>
  <c r="B3" i="3"/>
  <c r="C3" i="3" l="1"/>
  <c r="D45" i="3"/>
  <c r="J45" i="3" s="1"/>
  <c r="C2" i="3" l="1"/>
</calcChain>
</file>

<file path=xl/sharedStrings.xml><?xml version="1.0" encoding="utf-8"?>
<sst xmlns="http://schemas.openxmlformats.org/spreadsheetml/2006/main" count="94" uniqueCount="63">
  <si>
    <t>Inflation</t>
  </si>
  <si>
    <t>Years studying</t>
  </si>
  <si>
    <t>Salary</t>
  </si>
  <si>
    <t>Year</t>
  </si>
  <si>
    <t>Loan at beginning of year</t>
  </si>
  <si>
    <t>Repayments</t>
  </si>
  <si>
    <t>At university?</t>
  </si>
  <si>
    <t>New loan</t>
  </si>
  <si>
    <t>Loan at end of year</t>
  </si>
  <si>
    <t>Minimum income</t>
  </si>
  <si>
    <t>Percentage of income</t>
  </si>
  <si>
    <t>Salary increase</t>
  </si>
  <si>
    <t>Income over lifetime</t>
  </si>
  <si>
    <t>A</t>
  </si>
  <si>
    <t>B</t>
  </si>
  <si>
    <t>Discounted</t>
  </si>
  <si>
    <t>Total</t>
  </si>
  <si>
    <t>Parameters</t>
  </si>
  <si>
    <t>Loan repayment</t>
  </si>
  <si>
    <t>Cumulative</t>
  </si>
  <si>
    <t>Student loan schedule - Course A</t>
  </si>
  <si>
    <t>Student loan schedule - Course B</t>
  </si>
  <si>
    <t>Course B</t>
  </si>
  <si>
    <t>Course A</t>
  </si>
  <si>
    <t>Course</t>
  </si>
  <si>
    <t>Current structure</t>
  </si>
  <si>
    <t>Annual fees</t>
  </si>
  <si>
    <t>Average starting salary post course completion</t>
  </si>
  <si>
    <t>Increase/decrease?</t>
  </si>
  <si>
    <t>years_A/years_B</t>
  </si>
  <si>
    <t>loan_A/loan_B</t>
  </si>
  <si>
    <t>sal_A/sal_B</t>
  </si>
  <si>
    <t>start_sal_A/start_sal_B</t>
  </si>
  <si>
    <t>infl</t>
  </si>
  <si>
    <t>Sal_Inc</t>
  </si>
  <si>
    <t>A or B higher?</t>
  </si>
  <si>
    <t>Check</t>
  </si>
  <si>
    <t>Higher:</t>
  </si>
  <si>
    <t>Net income</t>
  </si>
  <si>
    <t>Discounted net income</t>
  </si>
  <si>
    <t xml:space="preserve">Cumulative discounted net income </t>
  </si>
  <si>
    <t>Check on total:</t>
  </si>
  <si>
    <t>Alternative structure</t>
  </si>
  <si>
    <t>Average age</t>
  </si>
  <si>
    <t>Max age</t>
  </si>
  <si>
    <t>age</t>
  </si>
  <si>
    <t>max_age</t>
  </si>
  <si>
    <t>Total discounted repayments</t>
  </si>
  <si>
    <t>Goal seek</t>
  </si>
  <si>
    <t>Goal seek instructions</t>
  </si>
  <si>
    <t>Goal seek cell</t>
  </si>
  <si>
    <t>Q7</t>
  </si>
  <si>
    <t>To be</t>
  </si>
  <si>
    <t>zero</t>
  </si>
  <si>
    <t>By changing</t>
  </si>
  <si>
    <t>K2</t>
  </si>
  <si>
    <t>Payments</t>
  </si>
  <si>
    <t>Percentage of salary</t>
  </si>
  <si>
    <t>percent</t>
  </si>
  <si>
    <t>Alternative - target</t>
  </si>
  <si>
    <t>Target percentage</t>
  </si>
  <si>
    <t>(target percentage)</t>
  </si>
  <si>
    <t>Salary while at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</si>
</sst>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43" formatCode="_-* #,##0.00_-;\-* #,##0.00_-;_-* &quot;-&quot;??_-;_-@_-"/>
    <numFmt numFmtId="164" formatCode="_-* #,##0_-;\-* #,##0_-;_-* &quot;-&quot;??_-;_-@_-"/>
    <numFmt numFmtId="165" formatCode="_-* #,##0.0000000000_-;\-* #,##0.0000000000_-;_-* &quot;-&quot;??_-;_-@_-"/>
    <numFmt numFmtId="166" formatCode="0.0%"/>
  </numFmts>
  <fonts count="12" x14ac:knownFonts="1">
    <font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u/>
      <sz val="10"/>
      <color theme="0"/>
      <name val="Arial"/>
      <family val="2"/>
      <scheme val="minor"/>
    </font>
    <font>
      <sz val="10"/>
      <color rgb="FF000000"/>
      <name val="Arial"/>
      <family val="2"/>
      <scheme val="minor"/>
    </font>
    <font>
      <i/>
      <sz val="10"/>
      <color rgb="FFFF0000"/>
      <name val="Arial"/>
      <family val="2"/>
      <scheme val="minor"/>
    </font>
    <font>
      <i/>
      <sz val="8"/>
      <color rgb="FFFF0000"/>
      <name val="Arial"/>
      <family val="2"/>
      <scheme val="minor"/>
    </font>
    <font>
      <u/>
      <sz val="10"/>
      <color theme="1"/>
      <name val="Arial"/>
      <family val="2"/>
      <scheme val="minor"/>
    </font>
    <font>
      <b/>
      <sz val="10"/>
      <color rgb="FFFF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6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9" fontId="0" fillId="0" borderId="0" xfId="0" applyNumberFormat="1"/>
    <xf numFmtId="0" fontId="2" fillId="0" borderId="0" xfId="0" applyFont="1"/>
    <xf numFmtId="164" fontId="0" fillId="0" borderId="0" xfId="1" applyNumberFormat="1" applyFont="1" applyBorder="1"/>
    <xf numFmtId="164" fontId="0" fillId="0" borderId="2" xfId="1" applyNumberFormat="1" applyFont="1" applyBorder="1"/>
    <xf numFmtId="164" fontId="0" fillId="0" borderId="3" xfId="0" applyNumberFormat="1" applyBorder="1"/>
    <xf numFmtId="165" fontId="0" fillId="0" borderId="0" xfId="1" applyNumberFormat="1" applyFont="1"/>
    <xf numFmtId="0" fontId="0" fillId="3" borderId="0" xfId="0" applyFill="1"/>
    <xf numFmtId="0" fontId="4" fillId="2" borderId="0" xfId="0" applyFont="1" applyFill="1"/>
    <xf numFmtId="0" fontId="5" fillId="2" borderId="0" xfId="0" applyFont="1" applyFill="1"/>
    <xf numFmtId="0" fontId="5" fillId="0" borderId="0" xfId="0" applyFont="1"/>
    <xf numFmtId="0" fontId="0" fillId="0" borderId="13" xfId="0" applyBorder="1"/>
    <xf numFmtId="0" fontId="0" fillId="0" borderId="14" xfId="0" applyBorder="1"/>
    <xf numFmtId="0" fontId="0" fillId="0" borderId="15" xfId="0" applyBorder="1"/>
    <xf numFmtId="6" fontId="0" fillId="0" borderId="16" xfId="0" applyNumberFormat="1" applyBorder="1"/>
    <xf numFmtId="165" fontId="0" fillId="3" borderId="0" xfId="1" applyNumberFormat="1" applyFont="1" applyFill="1"/>
    <xf numFmtId="0" fontId="3" fillId="0" borderId="17" xfId="0" applyFont="1" applyBorder="1"/>
    <xf numFmtId="0" fontId="0" fillId="0" borderId="5" xfId="0" applyBorder="1"/>
    <xf numFmtId="0" fontId="0" fillId="0" borderId="6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164" fontId="0" fillId="0" borderId="3" xfId="1" applyNumberFormat="1" applyFont="1" applyBorder="1"/>
    <xf numFmtId="164" fontId="0" fillId="0" borderId="4" xfId="1" applyNumberFormat="1" applyFont="1" applyBorder="1"/>
    <xf numFmtId="0" fontId="0" fillId="0" borderId="1" xfId="0" applyBorder="1"/>
    <xf numFmtId="0" fontId="0" fillId="0" borderId="22" xfId="0" applyBorder="1"/>
    <xf numFmtId="164" fontId="0" fillId="0" borderId="23" xfId="1" applyNumberFormat="1" applyFont="1" applyBorder="1"/>
    <xf numFmtId="164" fontId="0" fillId="0" borderId="23" xfId="0" applyNumberFormat="1" applyBorder="1"/>
    <xf numFmtId="164" fontId="0" fillId="0" borderId="24" xfId="1" applyNumberFormat="1" applyFont="1" applyBorder="1"/>
    <xf numFmtId="0" fontId="6" fillId="2" borderId="0" xfId="0" applyFont="1" applyFill="1"/>
    <xf numFmtId="0" fontId="0" fillId="0" borderId="23" xfId="0" applyBorder="1"/>
    <xf numFmtId="164" fontId="3" fillId="0" borderId="5" xfId="1" applyNumberFormat="1" applyFont="1" applyBorder="1" applyAlignment="1"/>
    <xf numFmtId="0" fontId="3" fillId="0" borderId="6" xfId="0" applyFont="1" applyBorder="1"/>
    <xf numFmtId="0" fontId="3" fillId="0" borderId="18" xfId="0" applyFont="1" applyBorder="1"/>
    <xf numFmtId="43" fontId="0" fillId="0" borderId="0" xfId="1" applyFont="1" applyBorder="1"/>
    <xf numFmtId="43" fontId="0" fillId="0" borderId="2" xfId="0" applyNumberFormat="1" applyBorder="1"/>
    <xf numFmtId="43" fontId="0" fillId="0" borderId="23" xfId="1" applyFont="1" applyBorder="1"/>
    <xf numFmtId="43" fontId="0" fillId="0" borderId="24" xfId="0" applyNumberFormat="1" applyBorder="1"/>
    <xf numFmtId="164" fontId="0" fillId="4" borderId="3" xfId="0" applyNumberFormat="1" applyFill="1" applyBorder="1"/>
    <xf numFmtId="164" fontId="0" fillId="4" borderId="0" xfId="0" applyNumberFormat="1" applyFill="1"/>
    <xf numFmtId="0" fontId="5" fillId="3" borderId="0" xfId="0" applyFont="1" applyFill="1"/>
    <xf numFmtId="0" fontId="0" fillId="0" borderId="25" xfId="0" applyBorder="1"/>
    <xf numFmtId="164" fontId="0" fillId="0" borderId="22" xfId="1" applyNumberFormat="1" applyFont="1" applyBorder="1"/>
    <xf numFmtId="0" fontId="0" fillId="0" borderId="7" xfId="0" applyBorder="1"/>
    <xf numFmtId="0" fontId="3" fillId="0" borderId="13" xfId="0" applyFont="1" applyBorder="1"/>
    <xf numFmtId="0" fontId="3" fillId="0" borderId="2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7" fillId="0" borderId="15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9" fillId="0" borderId="0" xfId="0" applyFont="1"/>
    <xf numFmtId="6" fontId="9" fillId="0" borderId="0" xfId="0" applyNumberFormat="1" applyFont="1" applyAlignment="1">
      <alignment horizontal="left"/>
    </xf>
    <xf numFmtId="164" fontId="0" fillId="0" borderId="1" xfId="1" applyNumberFormat="1" applyFont="1" applyBorder="1"/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164" fontId="3" fillId="0" borderId="7" xfId="1" applyNumberFormat="1" applyFont="1" applyBorder="1" applyAlignment="1"/>
    <xf numFmtId="164" fontId="3" fillId="0" borderId="6" xfId="1" applyNumberFormat="1" applyFont="1" applyBorder="1" applyAlignment="1"/>
    <xf numFmtId="43" fontId="0" fillId="0" borderId="1" xfId="1" applyFont="1" applyBorder="1"/>
    <xf numFmtId="43" fontId="0" fillId="0" borderId="2" xfId="1" applyFont="1" applyBorder="1"/>
    <xf numFmtId="43" fontId="0" fillId="0" borderId="22" xfId="1" applyFont="1" applyBorder="1"/>
    <xf numFmtId="43" fontId="0" fillId="0" borderId="24" xfId="1" applyFont="1" applyBorder="1"/>
    <xf numFmtId="0" fontId="0" fillId="5" borderId="26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6" fontId="0" fillId="5" borderId="0" xfId="0" applyNumberFormat="1" applyFill="1" applyAlignment="1">
      <alignment horizontal="center"/>
    </xf>
    <xf numFmtId="6" fontId="0" fillId="5" borderId="10" xfId="0" applyNumberFormat="1" applyFill="1" applyBorder="1" applyAlignment="1">
      <alignment horizontal="center"/>
    </xf>
    <xf numFmtId="43" fontId="0" fillId="5" borderId="10" xfId="1" applyFont="1" applyFill="1" applyBorder="1" applyAlignment="1">
      <alignment horizontal="center"/>
    </xf>
    <xf numFmtId="6" fontId="0" fillId="5" borderId="11" xfId="0" applyNumberFormat="1" applyFill="1" applyBorder="1" applyAlignment="1">
      <alignment horizontal="center"/>
    </xf>
    <xf numFmtId="6" fontId="0" fillId="5" borderId="12" xfId="0" applyNumberFormat="1" applyFill="1" applyBorder="1" applyAlignment="1">
      <alignment horizontal="center"/>
    </xf>
    <xf numFmtId="10" fontId="0" fillId="5" borderId="9" xfId="0" applyNumberFormat="1" applyFill="1" applyBorder="1" applyAlignment="1">
      <alignment horizontal="right"/>
    </xf>
    <xf numFmtId="9" fontId="0" fillId="5" borderId="12" xfId="0" applyNumberFormat="1" applyFill="1" applyBorder="1" applyAlignment="1">
      <alignment horizontal="right"/>
    </xf>
    <xf numFmtId="6" fontId="0" fillId="5" borderId="10" xfId="0" applyNumberFormat="1" applyFill="1" applyBorder="1"/>
    <xf numFmtId="9" fontId="0" fillId="5" borderId="12" xfId="0" applyNumberFormat="1" applyFill="1" applyBorder="1"/>
    <xf numFmtId="9" fontId="0" fillId="5" borderId="8" xfId="0" applyNumberFormat="1" applyFill="1" applyBorder="1"/>
    <xf numFmtId="0" fontId="0" fillId="0" borderId="27" xfId="0" applyBorder="1"/>
    <xf numFmtId="0" fontId="0" fillId="0" borderId="28" xfId="0" applyBorder="1"/>
    <xf numFmtId="0" fontId="0" fillId="5" borderId="13" xfId="0" applyFill="1" applyBorder="1"/>
    <xf numFmtId="0" fontId="0" fillId="5" borderId="15" xfId="0" applyFill="1" applyBorder="1"/>
    <xf numFmtId="166" fontId="0" fillId="0" borderId="8" xfId="2" applyNumberFormat="1" applyFont="1" applyBorder="1"/>
    <xf numFmtId="164" fontId="0" fillId="0" borderId="1" xfId="0" applyNumberFormat="1" applyBorder="1"/>
    <xf numFmtId="164" fontId="0" fillId="0" borderId="22" xfId="0" applyNumberFormat="1" applyBorder="1"/>
    <xf numFmtId="164" fontId="0" fillId="0" borderId="19" xfId="0" applyNumberFormat="1" applyBorder="1"/>
    <xf numFmtId="164" fontId="0" fillId="0" borderId="21" xfId="0" applyNumberFormat="1" applyBorder="1"/>
    <xf numFmtId="166" fontId="0" fillId="0" borderId="0" xfId="2" applyNumberFormat="1" applyFont="1" applyBorder="1"/>
    <xf numFmtId="43" fontId="0" fillId="6" borderId="2" xfId="0" applyNumberFormat="1" applyFill="1" applyBorder="1"/>
    <xf numFmtId="43" fontId="0" fillId="6" borderId="2" xfId="1" applyFont="1" applyFill="1" applyBorder="1"/>
    <xf numFmtId="164" fontId="0" fillId="0" borderId="21" xfId="1" applyNumberFormat="1" applyFont="1" applyBorder="1"/>
    <xf numFmtId="164" fontId="0" fillId="6" borderId="4" xfId="1" applyNumberFormat="1" applyFont="1" applyFill="1" applyBorder="1"/>
    <xf numFmtId="164" fontId="0" fillId="6" borderId="2" xfId="1" applyNumberFormat="1" applyFont="1" applyFill="1" applyBorder="1"/>
    <xf numFmtId="0" fontId="3" fillId="0" borderId="7" xfId="0" applyFont="1" applyBorder="1"/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right"/>
    </xf>
    <xf numFmtId="43" fontId="0" fillId="0" borderId="20" xfId="1" applyFont="1" applyBorder="1"/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164" fontId="3" fillId="0" borderId="5" xfId="1" applyNumberFormat="1" applyFont="1" applyBorder="1" applyAlignment="1">
      <alignment horizontal="center"/>
    </xf>
    <xf numFmtId="164" fontId="3" fillId="0" borderId="6" xfId="1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 customBuiltin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Comparison</a:t>
            </a:r>
            <a:r>
              <a:rPr lang="en-GB" baseline="0"/>
              <a:t> of cumulative </a:t>
            </a:r>
          </a:p>
          <a:p>
            <a:pPr>
              <a:defRPr/>
            </a:pPr>
            <a:r>
              <a:rPr lang="en-GB" baseline="0"/>
              <a:t>discounted net income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Course A income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'Income Comparison'!$D$6:$D$45</c:f>
              <c:numCache>
                <c:formatCode>_(* #,##0.00_);_(* \(#,##0.00\);_(* "-"??_);_(@_)</c:formatCode>
                <c:ptCount val="40"/>
                <c:pt idx="0">
                  <c:v>4938.647983247949</c:v>
                </c:pt>
                <c:pt idx="1">
                  <c:v>9756.841137636191</c:v>
                </c:pt>
                <c:pt idx="2">
                  <c:v>14457.517385819843</c:v>
                </c:pt>
                <c:pt idx="3">
                  <c:v>32343.017256957643</c:v>
                </c:pt>
                <c:pt idx="4">
                  <c:v>50597.636262396598</c:v>
                </c:pt>
                <c:pt idx="5">
                  <c:v>69232.014199799494</c:v>
                </c:pt>
                <c:pt idx="6">
                  <c:v>88257.010449895315</c:v>
                </c:pt>
                <c:pt idx="7">
                  <c:v>107683.71030592464</c:v>
                </c:pt>
                <c:pt idx="8">
                  <c:v>127523.43143371146</c:v>
                </c:pt>
                <c:pt idx="9">
                  <c:v>147787.7304661267</c:v>
                </c:pt>
                <c:pt idx="10">
                  <c:v>168488.4097357865</c:v>
                </c:pt>
                <c:pt idx="11">
                  <c:v>189637.52414990825</c:v>
                </c:pt>
                <c:pt idx="12">
                  <c:v>211247.38821132935</c:v>
                </c:pt>
                <c:pt idx="13">
                  <c:v>233330.58318977861</c:v>
                </c:pt>
                <c:pt idx="14">
                  <c:v>255899.96444757693</c:v>
                </c:pt>
                <c:pt idx="15">
                  <c:v>278968.66892403329</c:v>
                </c:pt>
                <c:pt idx="16">
                  <c:v>302550.12278289424</c:v>
                </c:pt>
                <c:pt idx="17">
                  <c:v>327321.1920563922</c:v>
                </c:pt>
                <c:pt idx="18">
                  <c:v>353652.83588079287</c:v>
                </c:pt>
                <c:pt idx="19">
                  <c:v>380626.71492042288</c:v>
                </c:pt>
                <c:pt idx="20">
                  <c:v>408258.49344882433</c:v>
                </c:pt>
                <c:pt idx="21">
                  <c:v>436564.21779499168</c:v>
                </c:pt>
                <c:pt idx="22">
                  <c:v>465560.32566179725</c:v>
                </c:pt>
                <c:pt idx="23">
                  <c:v>495263.65567169565</c:v>
                </c:pt>
                <c:pt idx="24">
                  <c:v>525691.45714525005</c:v>
                </c:pt>
                <c:pt idx="25">
                  <c:v>556861.40011815948</c:v>
                </c:pt>
                <c:pt idx="26">
                  <c:v>588791.58560260327</c:v>
                </c:pt>
                <c:pt idx="27">
                  <c:v>621500.55609886278</c:v>
                </c:pt>
                <c:pt idx="28">
                  <c:v>655007.3063633237</c:v>
                </c:pt>
                <c:pt idx="29">
                  <c:v>689331.294439113</c:v>
                </c:pt>
                <c:pt idx="30">
                  <c:v>724492.4529557752</c:v>
                </c:pt>
                <c:pt idx="31">
                  <c:v>760511.20070455107</c:v>
                </c:pt>
                <c:pt idx="32">
                  <c:v>797408.45449598006</c:v>
                </c:pt>
                <c:pt idx="33">
                  <c:v>835205.64130671218</c:v>
                </c:pt>
                <c:pt idx="34">
                  <c:v>873924.71072258416</c:v>
                </c:pt>
                <c:pt idx="35">
                  <c:v>913588.14768518473</c:v>
                </c:pt>
                <c:pt idx="36">
                  <c:v>954218.98554931208</c:v>
                </c:pt>
                <c:pt idx="37">
                  <c:v>995840.81945890607</c:v>
                </c:pt>
                <c:pt idx="38">
                  <c:v>1038477.8200492219</c:v>
                </c:pt>
                <c:pt idx="39">
                  <c:v>1082154.7474832039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F9-4537-A7AF-29E1719421B2}"/>
            </c:ext>
          </c:extLst>
        </c:ser>
        <c:ser>
          <c:idx val="2"/>
          <c:order val="1"/>
          <c:tx>
            <c:v>Course B income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'Income Comparison'!$G$6:$G$45</c:f>
              <c:numCache>
                <c:formatCode>_(* #,##0.00_);_(* \(#,##0.00\);_(* "-"??_);_(@_)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20952.216935941415</c:v>
                </c:pt>
                <c:pt idx="6">
                  <c:v>42351.5848430767</c:v>
                </c:pt>
                <c:pt idx="7">
                  <c:v>64210.567859975723</c:v>
                </c:pt>
                <c:pt idx="8">
                  <c:v>86541.896128165637</c:v>
                </c:pt>
                <c:pt idx="9">
                  <c:v>109358.57320684745</c:v>
                </c:pt>
                <c:pt idx="10">
                  <c:v>132673.88364585349</c:v>
                </c:pt>
                <c:pt idx="11">
                  <c:v>156501.4007212568</c:v>
                </c:pt>
                <c:pt idx="12">
                  <c:v>180854.99433813704</c:v>
                </c:pt>
                <c:pt idx="13">
                  <c:v>205748.83910510544</c:v>
                </c:pt>
                <c:pt idx="14">
                  <c:v>231197.4225852892</c:v>
                </c:pt>
                <c:pt idx="15">
                  <c:v>257215.55372857943</c:v>
                </c:pt>
                <c:pt idx="16">
                  <c:v>283818.37149005063</c:v>
                </c:pt>
                <c:pt idx="17">
                  <c:v>311021.35363956791</c:v>
                </c:pt>
                <c:pt idx="18">
                  <c:v>338840.32576770923</c:v>
                </c:pt>
                <c:pt idx="19">
                  <c:v>367291.47049324284</c:v>
                </c:pt>
                <c:pt idx="20">
                  <c:v>396391.33687751804</c:v>
                </c:pt>
                <c:pt idx="21">
                  <c:v>426156.85005124606</c:v>
                </c:pt>
                <c:pt idx="22">
                  <c:v>456605.32105927175</c:v>
                </c:pt>
                <c:pt idx="23">
                  <c:v>487754.45692906313</c:v>
                </c:pt>
                <c:pt idx="24">
                  <c:v>519622.37096877495</c:v>
                </c:pt>
                <c:pt idx="25">
                  <c:v>552227.59330087574</c:v>
                </c:pt>
                <c:pt idx="26">
                  <c:v>585589.0816374654</c:v>
                </c:pt>
                <c:pt idx="27">
                  <c:v>619726.23230354802</c:v>
                </c:pt>
                <c:pt idx="28">
                  <c:v>654658.89151467197</c:v>
                </c:pt>
                <c:pt idx="29">
                  <c:v>692040.67598433979</c:v>
                </c:pt>
                <c:pt idx="30">
                  <c:v>731905.93507352599</c:v>
                </c:pt>
                <c:pt idx="31">
                  <c:v>772743.51755513134</c:v>
                </c:pt>
                <c:pt idx="32">
                  <c:v>814577.13863384898</c:v>
                </c:pt>
                <c:pt idx="33">
                  <c:v>857431.09193399886</c:v>
                </c:pt>
                <c:pt idx="34">
                  <c:v>901330.26360732305</c:v>
                </c:pt>
                <c:pt idx="35">
                  <c:v>946300.14678487473</c:v>
                </c:pt>
                <c:pt idx="36">
                  <c:v>992366.85638139106</c:v>
                </c:pt>
                <c:pt idx="37">
                  <c:v>1039557.1442607492</c:v>
                </c:pt>
                <c:pt idx="38">
                  <c:v>1087898.4147713112</c:v>
                </c:pt>
                <c:pt idx="39">
                  <c:v>1137418.7406601796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F9-4537-A7AF-29E171942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9953424"/>
        <c:axId val="479950288"/>
      </c:lineChart>
      <c:catAx>
        <c:axId val="479953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950288"/>
        <c:crosses val="autoZero"/>
        <c:auto val="1"/>
        <c:lblAlgn val="ctr"/>
        <c:lblOffset val="100"/>
        <c:noMultiLvlLbl val="0"/>
      </c:catAx>
      <c:valAx>
        <c:axId val="47995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Income (£)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953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Repayment structures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'Repayment Comparison'!$D$3:$F$3</c:f>
              <c:strCache>
                <c:ptCount val="1"/>
                <c:pt idx="0">
                  <c:v>Current structure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'Repayment Comparison'!$A$5:$A$44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'Repayment Comparison'!$F$5:$F$44</c:f>
              <c:numCache>
                <c:formatCode>_-* #,##0_-;\-* #,##0_-;_-* "-"??_-;_-@_-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873.00903899755895</c:v>
                </c:pt>
                <c:pt idx="6">
                  <c:v>1831.1896915558555</c:v>
                </c:pt>
                <c:pt idx="7">
                  <c:v>2875.061296781967</c:v>
                </c:pt>
                <c:pt idx="8">
                  <c:v>4005.1938610129305</c:v>
                </c:pt>
                <c:pt idx="9">
                  <c:v>5222.2083667622646</c:v>
                </c:pt>
                <c:pt idx="10">
                  <c:v>6526.7771118076216</c:v>
                </c:pt>
                <c:pt idx="11">
                  <c:v>7919.6240786033422</c:v>
                </c:pt>
                <c:pt idx="12">
                  <c:v>9401.5253342196502</c:v>
                </c:pt>
                <c:pt idx="13">
                  <c:v>10973.309461028228</c:v>
                </c:pt>
                <c:pt idx="14">
                  <c:v>12635.858018372093</c:v>
                </c:pt>
                <c:pt idx="15">
                  <c:v>14390.106035475999</c:v>
                </c:pt>
                <c:pt idx="16">
                  <c:v>16237.042535871977</c:v>
                </c:pt>
                <c:pt idx="17">
                  <c:v>18177.711093633257</c:v>
                </c:pt>
                <c:pt idx="18">
                  <c:v>20213.210421728549</c:v>
                </c:pt>
                <c:pt idx="19">
                  <c:v>22344.69499282755</c:v>
                </c:pt>
                <c:pt idx="20">
                  <c:v>24573.37569290771</c:v>
                </c:pt>
                <c:pt idx="21">
                  <c:v>26900.52050803155</c:v>
                </c:pt>
                <c:pt idx="22">
                  <c:v>29327.455244683355</c:v>
                </c:pt>
                <c:pt idx="23">
                  <c:v>31855.564284073789</c:v>
                </c:pt>
                <c:pt idx="24">
                  <c:v>34486.291370840954</c:v>
                </c:pt>
                <c:pt idx="25">
                  <c:v>37221.140436596623</c:v>
                </c:pt>
                <c:pt idx="26">
                  <c:v>40061.676458786817</c:v>
                </c:pt>
                <c:pt idx="27">
                  <c:v>43009.526355356662</c:v>
                </c:pt>
                <c:pt idx="28">
                  <c:v>46066.379915730431</c:v>
                </c:pt>
                <c:pt idx="29">
                  <c:v>47600.68169979201</c:v>
                </c:pt>
                <c:pt idx="30">
                  <c:v>47600.68169979201</c:v>
                </c:pt>
                <c:pt idx="31">
                  <c:v>47600.68169979201</c:v>
                </c:pt>
                <c:pt idx="32">
                  <c:v>47600.68169979201</c:v>
                </c:pt>
                <c:pt idx="33">
                  <c:v>47600.68169979201</c:v>
                </c:pt>
                <c:pt idx="34">
                  <c:v>47600.68169979201</c:v>
                </c:pt>
                <c:pt idx="35">
                  <c:v>47600.68169979201</c:v>
                </c:pt>
                <c:pt idx="36">
                  <c:v>47600.68169979201</c:v>
                </c:pt>
                <c:pt idx="37">
                  <c:v>47600.68169979201</c:v>
                </c:pt>
                <c:pt idx="38">
                  <c:v>47600.68169979201</c:v>
                </c:pt>
                <c:pt idx="39">
                  <c:v>47600.68169979201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4C-4D89-B82C-2EEB2EEAB8C0}"/>
            </c:ext>
          </c:extLst>
        </c:ser>
        <c:ser>
          <c:idx val="1"/>
          <c:order val="1"/>
          <c:tx>
            <c:strRef>
              <c:f>'Repayment Comparison'!$G$3:$I$3</c:f>
              <c:strCache>
                <c:ptCount val="1"/>
                <c:pt idx="0">
                  <c:v>Alternative structure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'Repayment Comparison'!$A$5:$A$44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'Repayment Comparison'!$I$5:$I$44</c:f>
              <c:numCache>
                <c:formatCode>_-* #,##0_-;\-* #,##0_-;_-* "-"??_-;_-@_-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1746.0180779951179</c:v>
                </c:pt>
                <c:pt idx="6">
                  <c:v>3534.6219627706046</c:v>
                </c:pt>
                <c:pt idx="7">
                  <c:v>5366.8503325406155</c:v>
                </c:pt>
                <c:pt idx="8">
                  <c:v>7243.767199134285</c:v>
                </c:pt>
                <c:pt idx="9">
                  <c:v>9166.4625258887754</c:v>
                </c:pt>
                <c:pt idx="10">
                  <c:v>11136.052860612888</c:v>
                </c:pt>
                <c:pt idx="11">
                  <c:v>13153.681983988808</c:v>
                </c:pt>
                <c:pt idx="12">
                  <c:v>15220.521573788532</c:v>
                </c:pt>
                <c:pt idx="13">
                  <c:v>17337.771885290687</c:v>
                </c:pt>
                <c:pt idx="14">
                  <c:v>19506.662448292896</c:v>
                </c:pt>
                <c:pt idx="15">
                  <c:v>21728.45278112443</c:v>
                </c:pt>
                <c:pt idx="16">
                  <c:v>24004.433122073806</c:v>
                </c:pt>
                <c:pt idx="17">
                  <c:v>26335.925178656093</c:v>
                </c:pt>
                <c:pt idx="18">
                  <c:v>28724.282895155022</c:v>
                </c:pt>
                <c:pt idx="19">
                  <c:v>31170.89323888563</c:v>
                </c:pt>
                <c:pt idx="20">
                  <c:v>33677.177005634061</c:v>
                </c:pt>
                <c:pt idx="21">
                  <c:v>33677.177005634061</c:v>
                </c:pt>
                <c:pt idx="22">
                  <c:v>33677.177005634061</c:v>
                </c:pt>
                <c:pt idx="23">
                  <c:v>33677.177005634061</c:v>
                </c:pt>
                <c:pt idx="24">
                  <c:v>33677.177005634061</c:v>
                </c:pt>
                <c:pt idx="25">
                  <c:v>33677.177005634061</c:v>
                </c:pt>
                <c:pt idx="26">
                  <c:v>33677.177005634061</c:v>
                </c:pt>
                <c:pt idx="27">
                  <c:v>33677.177005634061</c:v>
                </c:pt>
                <c:pt idx="28">
                  <c:v>33677.177005634061</c:v>
                </c:pt>
                <c:pt idx="29">
                  <c:v>33677.177005634061</c:v>
                </c:pt>
                <c:pt idx="30">
                  <c:v>33677.177005634061</c:v>
                </c:pt>
                <c:pt idx="31">
                  <c:v>33677.177005634061</c:v>
                </c:pt>
                <c:pt idx="32">
                  <c:v>33677.177005634061</c:v>
                </c:pt>
                <c:pt idx="33">
                  <c:v>33677.177005634061</c:v>
                </c:pt>
                <c:pt idx="34">
                  <c:v>33677.177005634061</c:v>
                </c:pt>
                <c:pt idx="35">
                  <c:v>33677.177005634061</c:v>
                </c:pt>
                <c:pt idx="36">
                  <c:v>33677.177005634061</c:v>
                </c:pt>
                <c:pt idx="37">
                  <c:v>33677.177005634061</c:v>
                </c:pt>
                <c:pt idx="38">
                  <c:v>33677.177005634061</c:v>
                </c:pt>
                <c:pt idx="39">
                  <c:v>33677.177005634061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4C-4D89-B82C-2EEB2EEAB8C0}"/>
            </c:ext>
          </c:extLst>
        </c:ser>
        <c:ser>
          <c:idx val="2"/>
          <c:order val="2"/>
          <c:tx>
            <c:strRef>
              <c:f>'Repayment Comparison'!$J$3:$L$3</c:f>
              <c:strCache>
                <c:ptCount val="1"/>
                <c:pt idx="0">
                  <c:v>Alternative - target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'Repayment Comparison'!$A$5:$A$44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'Repayment Comparison'!$L$5:$L$44</c:f>
              <c:numCache>
                <c:formatCode>_-* #,##0_-;\-* #,##0_-;_-* "-"??_-;_-@_-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2467.8924471259566</c:v>
                </c:pt>
                <c:pt idx="6">
                  <c:v>4995.9773929623025</c:v>
                </c:pt>
                <c:pt idx="7">
                  <c:v>7585.7229472336812</c:v>
                </c:pt>
                <c:pt idx="8">
                  <c:v>10238.633027218997</c:v>
                </c:pt>
                <c:pt idx="9">
                  <c:v>12956.248231106394</c:v>
                </c:pt>
                <c:pt idx="10">
                  <c:v>15740.14673264958</c:v>
                </c:pt>
                <c:pt idx="11">
                  <c:v>18591.94519764504</c:v>
                </c:pt>
                <c:pt idx="12">
                  <c:v>21513.299722762342</c:v>
                </c:pt>
                <c:pt idx="13">
                  <c:v>24505.90679727275</c:v>
                </c:pt>
                <c:pt idx="14">
                  <c:v>27571.504288234628</c:v>
                </c:pt>
                <c:pt idx="15">
                  <c:v>30711.872449707775</c:v>
                </c:pt>
                <c:pt idx="16">
                  <c:v>33928.834956582708</c:v>
                </c:pt>
                <c:pt idx="17">
                  <c:v>37224.259963625322</c:v>
                </c:pt>
                <c:pt idx="18">
                  <c:v>40600.061190351902</c:v>
                </c:pt>
                <c:pt idx="19">
                  <c:v>44058.199032364493</c:v>
                </c:pt>
                <c:pt idx="20">
                  <c:v>47600.681699792025</c:v>
                </c:pt>
                <c:pt idx="21">
                  <c:v>47600.681699792025</c:v>
                </c:pt>
                <c:pt idx="22">
                  <c:v>47600.681699792025</c:v>
                </c:pt>
                <c:pt idx="23">
                  <c:v>47600.681699792025</c:v>
                </c:pt>
                <c:pt idx="24">
                  <c:v>47600.681699792025</c:v>
                </c:pt>
                <c:pt idx="25">
                  <c:v>47600.681699792025</c:v>
                </c:pt>
                <c:pt idx="26">
                  <c:v>47600.681699792025</c:v>
                </c:pt>
                <c:pt idx="27">
                  <c:v>47600.681699792025</c:v>
                </c:pt>
                <c:pt idx="28">
                  <c:v>47600.681699792025</c:v>
                </c:pt>
                <c:pt idx="29">
                  <c:v>47600.681699792025</c:v>
                </c:pt>
                <c:pt idx="30">
                  <c:v>47600.681699792025</c:v>
                </c:pt>
                <c:pt idx="31">
                  <c:v>47600.681699792025</c:v>
                </c:pt>
                <c:pt idx="32">
                  <c:v>47600.681699792025</c:v>
                </c:pt>
                <c:pt idx="33">
                  <c:v>47600.681699792025</c:v>
                </c:pt>
                <c:pt idx="34">
                  <c:v>47600.681699792025</c:v>
                </c:pt>
                <c:pt idx="35">
                  <c:v>47600.681699792025</c:v>
                </c:pt>
                <c:pt idx="36">
                  <c:v>47600.681699792025</c:v>
                </c:pt>
                <c:pt idx="37">
                  <c:v>47600.681699792025</c:v>
                </c:pt>
                <c:pt idx="38">
                  <c:v>47600.681699792025</c:v>
                </c:pt>
                <c:pt idx="39">
                  <c:v>47600.681699792025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4C-4D89-B82C-2EEB2EEAB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353488"/>
        <c:axId val="416354272"/>
      </c:lineChart>
      <c:catAx>
        <c:axId val="416353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6354272"/>
        <c:crosses val="autoZero"/>
        <c:auto val="1"/>
        <c:lblAlgn val="ctr"/>
        <c:lblOffset val="100"/>
        <c:noMultiLvlLbl val="0"/>
      </c:catAx>
      <c:valAx>
        <c:axId val="416354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Cumulative repyments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6353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4</xdr:row>
      <xdr:rowOff>14286</xdr:rowOff>
    </xdr:from>
    <xdr:to>
      <xdr:col>18</xdr:col>
      <xdr:colOff>342900</xdr:colOff>
      <xdr:row>27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13</xdr:row>
      <xdr:rowOff>42862</xdr:rowOff>
    </xdr:from>
    <xdr:to>
      <xdr:col>20</xdr:col>
      <xdr:colOff>361950</xdr:colOff>
      <xdr:row>30</xdr:row>
      <xdr:rowOff>33337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WTW">
      <a:dk1>
        <a:sysClr val="windowText" lastClr="000000"/>
      </a:dk1>
      <a:lt1>
        <a:sysClr val="window" lastClr="FFFFFF"/>
      </a:lt1>
      <a:dk2>
        <a:srgbClr val="63666A"/>
      </a:dk2>
      <a:lt2>
        <a:srgbClr val="EEECE1"/>
      </a:lt2>
      <a:accent1>
        <a:srgbClr val="702082"/>
      </a:accent1>
      <a:accent2>
        <a:srgbClr val="FFB81C"/>
      </a:accent2>
      <a:accent3>
        <a:srgbClr val="00A0D2"/>
      </a:accent3>
      <a:accent4>
        <a:srgbClr val="C110A0"/>
      </a:accent4>
      <a:accent5>
        <a:srgbClr val="00C389"/>
      </a:accent5>
      <a:accent6>
        <a:srgbClr val="63666A"/>
      </a:accent6>
      <a:hlink>
        <a:srgbClr val="00A0D2"/>
      </a:hlink>
      <a:folHlink>
        <a:srgbClr val="63666A"/>
      </a:folHlink>
    </a:clrScheme>
    <a:fontScheme name="WTW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workbookViewId="0"/>
  </sheetViews>
  <sheetFormatPr defaultRowHeight="12.75" x14ac:dyDescent="0.2"/>
  <cols>
    <col min="1" max="1" width="21.5703125" customWidth="1"/>
    <col min="2" max="4" width="11.42578125" customWidth="1"/>
    <col min="6" max="6" width="11.7109375" bestFit="1" customWidth="1"/>
    <col min="7" max="7" width="10.28515625" bestFit="1" customWidth="1"/>
    <col min="11" max="11" width="13.85546875" bestFit="1" customWidth="1"/>
  </cols>
  <sheetData>
    <row r="1" spans="1:11" x14ac:dyDescent="0.2">
      <c r="A1" s="5" t="s">
        <v>17</v>
      </c>
    </row>
    <row r="2" spans="1:11" x14ac:dyDescent="0.2">
      <c r="A2" s="5"/>
    </row>
    <row r="3" spans="1:11" s="12" customFormat="1" x14ac:dyDescent="0.2">
      <c r="A3" s="12" t="s">
        <v>25</v>
      </c>
    </row>
    <row r="4" spans="1:11" s="13" customFormat="1" ht="13.5" thickBot="1" x14ac:dyDescent="0.25"/>
    <row r="5" spans="1:11" ht="13.5" thickBot="1" x14ac:dyDescent="0.25">
      <c r="A5" s="48" t="s">
        <v>24</v>
      </c>
      <c r="B5" s="49" t="s">
        <v>13</v>
      </c>
      <c r="C5" s="50" t="s">
        <v>14</v>
      </c>
    </row>
    <row r="6" spans="1:11" x14ac:dyDescent="0.2">
      <c r="A6" s="14" t="s">
        <v>1</v>
      </c>
      <c r="B6" s="65">
        <v>3</v>
      </c>
      <c r="C6" s="66">
        <v>5</v>
      </c>
      <c r="D6" s="53" t="s">
        <v>29</v>
      </c>
    </row>
    <row r="7" spans="1:11" x14ac:dyDescent="0.2">
      <c r="A7" s="15" t="s">
        <v>26</v>
      </c>
      <c r="B7" s="67">
        <v>5000</v>
      </c>
      <c r="C7" s="68">
        <v>10000</v>
      </c>
      <c r="D7" s="53" t="s">
        <v>30</v>
      </c>
      <c r="K7" s="9"/>
    </row>
    <row r="8" spans="1:11" x14ac:dyDescent="0.2">
      <c r="A8" s="15" t="s">
        <v>62</v>
      </c>
      <c r="B8" s="67">
        <v>5000</v>
      </c>
      <c r="C8" s="69">
        <v>0</v>
      </c>
      <c r="D8" s="53" t="s">
        <v>31</v>
      </c>
      <c r="K8" s="9"/>
    </row>
    <row r="9" spans="1:11" ht="26.25" thickBot="1" x14ac:dyDescent="0.25">
      <c r="A9" s="51" t="s">
        <v>27</v>
      </c>
      <c r="B9" s="70">
        <v>20000</v>
      </c>
      <c r="C9" s="71">
        <v>25000</v>
      </c>
      <c r="D9" s="53" t="s">
        <v>32</v>
      </c>
      <c r="K9" s="9"/>
    </row>
    <row r="10" spans="1:11" ht="13.5" thickBot="1" x14ac:dyDescent="0.25">
      <c r="K10" s="9"/>
    </row>
    <row r="11" spans="1:11" x14ac:dyDescent="0.2">
      <c r="A11" s="14" t="s">
        <v>0</v>
      </c>
      <c r="B11" s="72">
        <v>2.5000000000000001E-2</v>
      </c>
      <c r="C11" s="54" t="s">
        <v>33</v>
      </c>
      <c r="K11" s="9"/>
    </row>
    <row r="12" spans="1:11" ht="13.5" thickBot="1" x14ac:dyDescent="0.25">
      <c r="A12" s="16" t="s">
        <v>11</v>
      </c>
      <c r="B12" s="73">
        <v>0.05</v>
      </c>
      <c r="C12" s="54" t="s">
        <v>34</v>
      </c>
      <c r="K12" s="9"/>
    </row>
    <row r="13" spans="1:11" ht="13.5" thickBot="1" x14ac:dyDescent="0.25">
      <c r="B13" s="1"/>
      <c r="C13" s="1"/>
      <c r="K13" s="9"/>
    </row>
    <row r="14" spans="1:11" ht="13.5" thickBot="1" x14ac:dyDescent="0.25">
      <c r="A14" s="19" t="s">
        <v>18</v>
      </c>
      <c r="B14" s="17"/>
      <c r="C14" s="1"/>
      <c r="K14" s="9"/>
    </row>
    <row r="15" spans="1:11" x14ac:dyDescent="0.2">
      <c r="A15" s="14" t="s">
        <v>9</v>
      </c>
      <c r="B15" s="74">
        <v>15000</v>
      </c>
      <c r="K15" s="9"/>
    </row>
    <row r="16" spans="1:11" ht="13.5" thickBot="1" x14ac:dyDescent="0.25">
      <c r="A16" s="16" t="s">
        <v>10</v>
      </c>
      <c r="B16" s="75">
        <v>0.1</v>
      </c>
      <c r="K16" s="9"/>
    </row>
    <row r="17" spans="1:11" x14ac:dyDescent="0.2">
      <c r="B17" s="4"/>
      <c r="K17" s="9"/>
    </row>
    <row r="18" spans="1:11" x14ac:dyDescent="0.2">
      <c r="K18" s="9"/>
    </row>
    <row r="19" spans="1:11" s="10" customFormat="1" x14ac:dyDescent="0.2">
      <c r="A19" s="44" t="s">
        <v>42</v>
      </c>
      <c r="K19" s="18"/>
    </row>
    <row r="20" spans="1:11" ht="13.5" thickBot="1" x14ac:dyDescent="0.25"/>
    <row r="21" spans="1:11" ht="13.5" thickBot="1" x14ac:dyDescent="0.25">
      <c r="A21" s="19" t="s">
        <v>57</v>
      </c>
      <c r="B21" s="76">
        <v>0.08</v>
      </c>
      <c r="C21" s="54" t="s">
        <v>58</v>
      </c>
    </row>
    <row r="22" spans="1:11" ht="13.5" thickBot="1" x14ac:dyDescent="0.25"/>
    <row r="23" spans="1:11" x14ac:dyDescent="0.2">
      <c r="A23" s="77" t="s">
        <v>43</v>
      </c>
      <c r="B23" s="79">
        <v>19</v>
      </c>
      <c r="C23" s="54" t="s">
        <v>45</v>
      </c>
    </row>
    <row r="24" spans="1:11" ht="13.5" thickBot="1" x14ac:dyDescent="0.25">
      <c r="A24" s="78" t="s">
        <v>44</v>
      </c>
      <c r="B24" s="80">
        <v>40</v>
      </c>
      <c r="C24" s="54" t="s">
        <v>46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0"/>
  <sheetViews>
    <sheetView workbookViewId="0"/>
  </sheetViews>
  <sheetFormatPr defaultRowHeight="12.75" x14ac:dyDescent="0.2"/>
  <cols>
    <col min="2" max="2" width="12.140625" bestFit="1" customWidth="1"/>
    <col min="3" max="4" width="12.140625" customWidth="1"/>
    <col min="5" max="5" width="22.140625" bestFit="1" customWidth="1"/>
    <col min="6" max="6" width="11.42578125" bestFit="1" customWidth="1"/>
    <col min="7" max="8" width="17" bestFit="1" customWidth="1"/>
  </cols>
  <sheetData>
    <row r="1" spans="1:8" s="11" customFormat="1" x14ac:dyDescent="0.2">
      <c r="A1" s="33" t="s">
        <v>20</v>
      </c>
    </row>
    <row r="3" spans="1:8" x14ac:dyDescent="0.2">
      <c r="A3" s="22" t="s">
        <v>3</v>
      </c>
      <c r="B3" s="20" t="s">
        <v>6</v>
      </c>
      <c r="C3" s="20" t="s">
        <v>2</v>
      </c>
      <c r="D3" s="20" t="s">
        <v>7</v>
      </c>
      <c r="E3" s="20" t="s">
        <v>4</v>
      </c>
      <c r="F3" s="20" t="s">
        <v>5</v>
      </c>
      <c r="G3" s="21" t="s">
        <v>8</v>
      </c>
      <c r="H3" s="52" t="s">
        <v>28</v>
      </c>
    </row>
    <row r="4" spans="1:8" x14ac:dyDescent="0.2">
      <c r="A4" s="23">
        <v>1</v>
      </c>
      <c r="B4" s="25" t="str">
        <f t="shared" ref="B4:B43" si="0">IF(A4&lt;=years_A,"Yes","No")</f>
        <v>Yes</v>
      </c>
      <c r="C4" s="26">
        <f>IF(AND(B4="No",B3="Yes"),start_sal_A,IF(AND('Loan Schedule A'!B4="No",'Loan Schedule A'!B3="No"),'Loan Schedule A'!C3*(1+Sal_Inc),sal_A))</f>
        <v>5000</v>
      </c>
      <c r="D4" s="26">
        <f t="shared" ref="D4:D43" si="1">IF(B4="Yes",loan_A,0)</f>
        <v>5000</v>
      </c>
      <c r="E4" s="42">
        <f>D4</f>
        <v>5000</v>
      </c>
      <c r="F4" s="8">
        <f>IF(B4="Yes",0,MAX(0,MIN(E4,(C4-Parameters!$B$15)*Parameters!$B$16)))</f>
        <v>0</v>
      </c>
      <c r="G4" s="27">
        <f>IF(E4=F4,0,E4*(1+infl)-F4*(1+infl)^0.5)</f>
        <v>5125</v>
      </c>
      <c r="H4" s="52"/>
    </row>
    <row r="5" spans="1:8" x14ac:dyDescent="0.2">
      <c r="A5" s="23">
        <v>2</v>
      </c>
      <c r="B5" s="28" t="str">
        <f t="shared" si="0"/>
        <v>Yes</v>
      </c>
      <c r="C5" s="6">
        <f>IF(AND(B5="No",B4="Yes"),start_sal_A,IF(AND('Loan Schedule A'!B5="No",'Loan Schedule A'!B4="No"),'Loan Schedule A'!C4*(1+Sal_Inc),sal_A))</f>
        <v>5000</v>
      </c>
      <c r="D5" s="6">
        <f t="shared" si="1"/>
        <v>5000</v>
      </c>
      <c r="E5" s="3">
        <f>D5+G4</f>
        <v>10125</v>
      </c>
      <c r="F5" s="3">
        <f>IF(B5="Yes",0,MAX(0,MIN(E5,(C5-Parameters!$B$15)*Parameters!$B$16)))</f>
        <v>0</v>
      </c>
      <c r="G5" s="7">
        <f t="shared" ref="G5:G43" si="2">IF(E5=F5,0,E5*(1+infl)-F5*(1+infl)^0.5)</f>
        <v>10378.125</v>
      </c>
      <c r="H5" s="52" t="str">
        <f>IF(G5&gt;G4,"Increase",IF(G5&lt;G4,"Decrease",""))</f>
        <v>Increase</v>
      </c>
    </row>
    <row r="6" spans="1:8" x14ac:dyDescent="0.2">
      <c r="A6" s="23">
        <v>3</v>
      </c>
      <c r="B6" s="28" t="str">
        <f t="shared" si="0"/>
        <v>Yes</v>
      </c>
      <c r="C6" s="6">
        <f>IF(AND(B6="No",B5="Yes"),start_sal_A,IF(AND('Loan Schedule A'!B6="No",'Loan Schedule A'!B5="No"),'Loan Schedule A'!C5*(1+Sal_Inc),sal_A))</f>
        <v>5000</v>
      </c>
      <c r="D6" s="6">
        <f t="shared" si="1"/>
        <v>5000</v>
      </c>
      <c r="E6" s="3">
        <f t="shared" ref="E6:E43" si="3">D6+G5</f>
        <v>15378.125</v>
      </c>
      <c r="F6" s="3">
        <f>IF(B6="Yes",0,MAX(0,MIN(E6,(C6-Parameters!$B$15)*Parameters!$B$16)))</f>
        <v>0</v>
      </c>
      <c r="G6" s="7">
        <f t="shared" si="2"/>
        <v>15762.578124999998</v>
      </c>
      <c r="H6" s="52" t="str">
        <f t="shared" ref="H6:H43" si="4">IF(G6&gt;G5,"Increase",IF(G6&lt;G5,"Decrease",""))</f>
        <v>Increase</v>
      </c>
    </row>
    <row r="7" spans="1:8" x14ac:dyDescent="0.2">
      <c r="A7" s="23">
        <v>4</v>
      </c>
      <c r="B7" s="28" t="str">
        <f t="shared" si="0"/>
        <v>No</v>
      </c>
      <c r="C7" s="6">
        <f>IF(AND(B7="No",B6="Yes"),start_sal_A,IF(AND('Loan Schedule A'!B7="No",'Loan Schedule A'!B6="No"),'Loan Schedule A'!C6*(1+Sal_Inc),sal_A))</f>
        <v>20000</v>
      </c>
      <c r="D7" s="6">
        <f t="shared" si="1"/>
        <v>0</v>
      </c>
      <c r="E7" s="3">
        <f t="shared" si="3"/>
        <v>15762.578124999998</v>
      </c>
      <c r="F7" s="3">
        <f>IF(B7="Yes",0,MAX(0,MIN(E7,(C7-Parameters!$B$15)*Parameters!$B$16)))</f>
        <v>500</v>
      </c>
      <c r="G7" s="7">
        <f t="shared" si="2"/>
        <v>15650.431159842081</v>
      </c>
      <c r="H7" s="52" t="str">
        <f t="shared" si="4"/>
        <v>Decrease</v>
      </c>
    </row>
    <row r="8" spans="1:8" x14ac:dyDescent="0.2">
      <c r="A8" s="23">
        <v>5</v>
      </c>
      <c r="B8" s="28" t="str">
        <f t="shared" si="0"/>
        <v>No</v>
      </c>
      <c r="C8" s="6">
        <f>IF(AND(B8="No",B7="Yes"),start_sal_A,IF(AND('Loan Schedule A'!B8="No",'Loan Schedule A'!B7="No"),'Loan Schedule A'!C7*(1+Sal_Inc),sal_A))</f>
        <v>21000</v>
      </c>
      <c r="D8" s="6">
        <f t="shared" si="1"/>
        <v>0</v>
      </c>
      <c r="E8" s="3">
        <f t="shared" si="3"/>
        <v>15650.431159842081</v>
      </c>
      <c r="F8" s="3">
        <f>IF(B8="Yes",0,MAX(0,MIN(E8,(C8-Parameters!$B$15)*Parameters!$B$16)))</f>
        <v>600</v>
      </c>
      <c r="G8" s="7">
        <f t="shared" si="2"/>
        <v>15434.238236898635</v>
      </c>
      <c r="H8" s="52" t="str">
        <f t="shared" si="4"/>
        <v>Decrease</v>
      </c>
    </row>
    <row r="9" spans="1:8" x14ac:dyDescent="0.2">
      <c r="A9" s="23">
        <v>6</v>
      </c>
      <c r="B9" s="28" t="str">
        <f t="shared" si="0"/>
        <v>No</v>
      </c>
      <c r="C9" s="6">
        <f>IF(AND(B9="No",B8="Yes"),start_sal_A,IF(AND('Loan Schedule A'!B9="No",'Loan Schedule A'!B8="No"),'Loan Schedule A'!C8*(1+Sal_Inc),sal_A))</f>
        <v>22050</v>
      </c>
      <c r="D9" s="6">
        <f t="shared" si="1"/>
        <v>0</v>
      </c>
      <c r="E9" s="3">
        <f t="shared" si="3"/>
        <v>15434.238236898635</v>
      </c>
      <c r="F9" s="3">
        <f>IF(B9="Yes",0,MAX(0,MIN(E9,(C9-Parameters!$B$15)*Parameters!$B$16)))</f>
        <v>705</v>
      </c>
      <c r="G9" s="7">
        <f t="shared" si="2"/>
        <v>15106.33609304219</v>
      </c>
      <c r="H9" s="52" t="str">
        <f t="shared" si="4"/>
        <v>Decrease</v>
      </c>
    </row>
    <row r="10" spans="1:8" x14ac:dyDescent="0.2">
      <c r="A10" s="23">
        <v>7</v>
      </c>
      <c r="B10" s="28" t="str">
        <f t="shared" si="0"/>
        <v>No</v>
      </c>
      <c r="C10" s="6">
        <f>IF(AND(B10="No",B9="Yes"),start_sal_A,IF(AND('Loan Schedule A'!B10="No",'Loan Schedule A'!B9="No"),'Loan Schedule A'!C9*(1+Sal_Inc),sal_A))</f>
        <v>23152.5</v>
      </c>
      <c r="D10" s="6">
        <f t="shared" si="1"/>
        <v>0</v>
      </c>
      <c r="E10" s="3">
        <f t="shared" si="3"/>
        <v>15106.33609304219</v>
      </c>
      <c r="F10" s="3">
        <f>IF(B10="Yes",0,MAX(0,MIN(E10,(C10-Parameters!$B$15)*Parameters!$B$16)))</f>
        <v>815.25</v>
      </c>
      <c r="G10" s="7">
        <f t="shared" si="2"/>
        <v>14658.616777857951</v>
      </c>
      <c r="H10" s="52" t="str">
        <f t="shared" si="4"/>
        <v>Decrease</v>
      </c>
    </row>
    <row r="11" spans="1:8" x14ac:dyDescent="0.2">
      <c r="A11" s="23">
        <v>8</v>
      </c>
      <c r="B11" s="28" t="str">
        <f t="shared" si="0"/>
        <v>No</v>
      </c>
      <c r="C11" s="6">
        <f>IF(AND(B11="No",B10="Yes"),start_sal_A,IF(AND('Loan Schedule A'!B11="No",'Loan Schedule A'!B10="No"),'Loan Schedule A'!C10*(1+Sal_Inc),sal_A))</f>
        <v>24310.125</v>
      </c>
      <c r="D11" s="6">
        <f t="shared" si="1"/>
        <v>0</v>
      </c>
      <c r="E11" s="3">
        <f t="shared" si="3"/>
        <v>14658.616777857951</v>
      </c>
      <c r="F11" s="3">
        <f>IF(B11="Yes",0,MAX(0,MIN(E11,(C11-Parameters!$B$15)*Parameters!$B$16)))</f>
        <v>931.01250000000005</v>
      </c>
      <c r="G11" s="7">
        <f t="shared" si="2"/>
        <v>14082.503881176155</v>
      </c>
      <c r="H11" s="52" t="str">
        <f t="shared" si="4"/>
        <v>Decrease</v>
      </c>
    </row>
    <row r="12" spans="1:8" x14ac:dyDescent="0.2">
      <c r="A12" s="23">
        <v>9</v>
      </c>
      <c r="B12" s="28" t="str">
        <f t="shared" si="0"/>
        <v>No</v>
      </c>
      <c r="C12" s="6">
        <f>IF(AND(B12="No",B11="Yes"),start_sal_A,IF(AND('Loan Schedule A'!B12="No",'Loan Schedule A'!B11="No"),'Loan Schedule A'!C11*(1+Sal_Inc),sal_A))</f>
        <v>25525.631250000002</v>
      </c>
      <c r="D12" s="6">
        <f t="shared" si="1"/>
        <v>0</v>
      </c>
      <c r="E12" s="3">
        <f t="shared" si="3"/>
        <v>14082.503881176155</v>
      </c>
      <c r="F12" s="3">
        <f>IF(B12="Yes",0,MAX(0,MIN(E12,(C12-Parameters!$B$15)*Parameters!$B$16)))</f>
        <v>1052.5631250000004</v>
      </c>
      <c r="G12" s="7">
        <f t="shared" si="2"/>
        <v>13368.927533528464</v>
      </c>
      <c r="H12" s="52" t="str">
        <f t="shared" si="4"/>
        <v>Decrease</v>
      </c>
    </row>
    <row r="13" spans="1:8" x14ac:dyDescent="0.2">
      <c r="A13" s="23">
        <v>10</v>
      </c>
      <c r="B13" s="28" t="str">
        <f t="shared" si="0"/>
        <v>No</v>
      </c>
      <c r="C13" s="6">
        <f>IF(AND(B13="No",B12="Yes"),start_sal_A,IF(AND('Loan Schedule A'!B13="No",'Loan Schedule A'!B12="No"),'Loan Schedule A'!C12*(1+Sal_Inc),sal_A))</f>
        <v>26801.912812500002</v>
      </c>
      <c r="D13" s="6">
        <f t="shared" si="1"/>
        <v>0</v>
      </c>
      <c r="E13" s="3">
        <f t="shared" si="3"/>
        <v>13368.927533528464</v>
      </c>
      <c r="F13" s="3">
        <f>IF(B13="Yes",0,MAX(0,MIN(E13,(C13-Parameters!$B$15)*Parameters!$B$16)))</f>
        <v>1180.1912812500002</v>
      </c>
      <c r="G13" s="7">
        <f t="shared" si="2"/>
        <v>12508.298117213288</v>
      </c>
      <c r="H13" s="52" t="str">
        <f t="shared" si="4"/>
        <v>Decrease</v>
      </c>
    </row>
    <row r="14" spans="1:8" x14ac:dyDescent="0.2">
      <c r="A14" s="23">
        <v>11</v>
      </c>
      <c r="B14" s="28" t="str">
        <f t="shared" si="0"/>
        <v>No</v>
      </c>
      <c r="C14" s="6">
        <f>IF(AND(B14="No",B13="Yes"),start_sal_A,IF(AND('Loan Schedule A'!B14="No",'Loan Schedule A'!B13="No"),'Loan Schedule A'!C13*(1+Sal_Inc),sal_A))</f>
        <v>28142.008453125003</v>
      </c>
      <c r="D14" s="6">
        <f t="shared" si="1"/>
        <v>0</v>
      </c>
      <c r="E14" s="3">
        <f t="shared" si="3"/>
        <v>12508.298117213288</v>
      </c>
      <c r="F14" s="3">
        <f>IF(B14="Yes",0,MAX(0,MIN(E14,(C14-Parameters!$B$15)*Parameters!$B$16)))</f>
        <v>1314.2008453125004</v>
      </c>
      <c r="G14" s="7">
        <f t="shared" si="2"/>
        <v>11490.478622515127</v>
      </c>
      <c r="H14" s="52" t="str">
        <f t="shared" si="4"/>
        <v>Decrease</v>
      </c>
    </row>
    <row r="15" spans="1:8" x14ac:dyDescent="0.2">
      <c r="A15" s="23">
        <v>12</v>
      </c>
      <c r="B15" s="28" t="str">
        <f t="shared" si="0"/>
        <v>No</v>
      </c>
      <c r="C15" s="6">
        <f>IF(AND(B15="No",B14="Yes"),start_sal_A,IF(AND('Loan Schedule A'!B15="No",'Loan Schedule A'!B14="No"),'Loan Schedule A'!C14*(1+Sal_Inc),sal_A))</f>
        <v>29549.108875781254</v>
      </c>
      <c r="D15" s="6">
        <f t="shared" si="1"/>
        <v>0</v>
      </c>
      <c r="E15" s="3">
        <f t="shared" si="3"/>
        <v>11490.478622515127</v>
      </c>
      <c r="F15" s="3">
        <f>IF(B15="Yes",0,MAX(0,MIN(E15,(C15-Parameters!$B$15)*Parameters!$B$16)))</f>
        <v>1454.9108875781255</v>
      </c>
      <c r="G15" s="7">
        <f t="shared" si="2"/>
        <v>10304.755580325651</v>
      </c>
      <c r="H15" s="52" t="str">
        <f t="shared" si="4"/>
        <v>Decrease</v>
      </c>
    </row>
    <row r="16" spans="1:8" x14ac:dyDescent="0.2">
      <c r="A16" s="23">
        <v>13</v>
      </c>
      <c r="B16" s="28" t="str">
        <f t="shared" si="0"/>
        <v>No</v>
      </c>
      <c r="C16" s="6">
        <f>IF(AND(B16="No",B15="Yes"),start_sal_A,IF(AND('Loan Schedule A'!B16="No",'Loan Schedule A'!B15="No"),'Loan Schedule A'!C15*(1+Sal_Inc),sal_A))</f>
        <v>31026.56431957032</v>
      </c>
      <c r="D16" s="6">
        <f t="shared" si="1"/>
        <v>0</v>
      </c>
      <c r="E16" s="3">
        <f t="shared" si="3"/>
        <v>10304.755580325651</v>
      </c>
      <c r="F16" s="3">
        <f>IF(B16="Yes",0,MAX(0,MIN(E16,(C16-Parameters!$B$15)*Parameters!$B$16)))</f>
        <v>1602.6564319570321</v>
      </c>
      <c r="G16" s="7">
        <f t="shared" si="2"/>
        <v>8939.8084989513809</v>
      </c>
      <c r="H16" s="52" t="str">
        <f t="shared" si="4"/>
        <v>Decrease</v>
      </c>
    </row>
    <row r="17" spans="1:8" x14ac:dyDescent="0.2">
      <c r="A17" s="23">
        <v>14</v>
      </c>
      <c r="B17" s="28" t="str">
        <f t="shared" si="0"/>
        <v>No</v>
      </c>
      <c r="C17" s="6">
        <f>IF(AND(B17="No",B16="Yes"),start_sal_A,IF(AND('Loan Schedule A'!B17="No",'Loan Schedule A'!B16="No"),'Loan Schedule A'!C16*(1+Sal_Inc),sal_A))</f>
        <v>32577.892535548835</v>
      </c>
      <c r="D17" s="6">
        <f t="shared" si="1"/>
        <v>0</v>
      </c>
      <c r="E17" s="3">
        <f t="shared" si="3"/>
        <v>8939.8084989513809</v>
      </c>
      <c r="F17" s="3">
        <f>IF(B17="Yes",0,MAX(0,MIN(E17,(C17-Parameters!$B$15)*Parameters!$B$16)))</f>
        <v>1757.7892535548835</v>
      </c>
      <c r="G17" s="7">
        <f t="shared" si="2"/>
        <v>7383.6777292561965</v>
      </c>
      <c r="H17" s="52" t="str">
        <f t="shared" si="4"/>
        <v>Decrease</v>
      </c>
    </row>
    <row r="18" spans="1:8" x14ac:dyDescent="0.2">
      <c r="A18" s="23">
        <v>15</v>
      </c>
      <c r="B18" s="28" t="str">
        <f t="shared" si="0"/>
        <v>No</v>
      </c>
      <c r="C18" s="6">
        <f>IF(AND(B18="No",B17="Yes"),start_sal_A,IF(AND('Loan Schedule A'!B18="No",'Loan Schedule A'!B17="No"),'Loan Schedule A'!C17*(1+Sal_Inc),sal_A))</f>
        <v>34206.787162326276</v>
      </c>
      <c r="D18" s="6">
        <f t="shared" si="1"/>
        <v>0</v>
      </c>
      <c r="E18" s="3">
        <f t="shared" si="3"/>
        <v>7383.6777292561965</v>
      </c>
      <c r="F18" s="3">
        <f>IF(B18="Yes",0,MAX(0,MIN(E18,(C18-Parameters!$B$15)*Parameters!$B$16)))</f>
        <v>1920.6787162326277</v>
      </c>
      <c r="G18" s="7">
        <f t="shared" si="2"/>
        <v>5623.7306784677485</v>
      </c>
      <c r="H18" s="52" t="str">
        <f t="shared" si="4"/>
        <v>Decrease</v>
      </c>
    </row>
    <row r="19" spans="1:8" x14ac:dyDescent="0.2">
      <c r="A19" s="23">
        <v>16</v>
      </c>
      <c r="B19" s="28" t="str">
        <f t="shared" si="0"/>
        <v>No</v>
      </c>
      <c r="C19" s="6">
        <f>IF(AND(B19="No",B18="Yes"),start_sal_A,IF(AND('Loan Schedule A'!B19="No",'Loan Schedule A'!B18="No"),'Loan Schedule A'!C18*(1+Sal_Inc),sal_A))</f>
        <v>35917.126520442594</v>
      </c>
      <c r="D19" s="6">
        <f t="shared" si="1"/>
        <v>0</v>
      </c>
      <c r="E19" s="3">
        <f t="shared" si="3"/>
        <v>5623.7306784677485</v>
      </c>
      <c r="F19" s="3">
        <f>IF(B19="Yes",0,MAX(0,MIN(E19,(C19-Parameters!$B$15)*Parameters!$B$16)))</f>
        <v>2091.7126520442594</v>
      </c>
      <c r="G19" s="7">
        <f t="shared" si="2"/>
        <v>3646.6262889661593</v>
      </c>
      <c r="H19" s="52" t="str">
        <f t="shared" si="4"/>
        <v>Decrease</v>
      </c>
    </row>
    <row r="20" spans="1:8" x14ac:dyDescent="0.2">
      <c r="A20" s="23">
        <v>17</v>
      </c>
      <c r="B20" s="28" t="str">
        <f t="shared" si="0"/>
        <v>No</v>
      </c>
      <c r="C20" s="6">
        <f>IF(AND(B20="No",B19="Yes"),start_sal_A,IF(AND('Loan Schedule A'!B20="No",'Loan Schedule A'!B19="No"),'Loan Schedule A'!C19*(1+Sal_Inc),sal_A))</f>
        <v>37712.982846464729</v>
      </c>
      <c r="D20" s="6">
        <f t="shared" si="1"/>
        <v>0</v>
      </c>
      <c r="E20" s="3">
        <f t="shared" si="3"/>
        <v>3646.6262889661593</v>
      </c>
      <c r="F20" s="3">
        <f>IF(B20="Yes",0,MAX(0,MIN(E20,(C20-Parameters!$B$15)*Parameters!$B$16)))</f>
        <v>2271.2982846464729</v>
      </c>
      <c r="G20" s="7">
        <f t="shared" si="2"/>
        <v>1438.2776941614288</v>
      </c>
      <c r="H20" s="52" t="str">
        <f t="shared" si="4"/>
        <v>Decrease</v>
      </c>
    </row>
    <row r="21" spans="1:8" x14ac:dyDescent="0.2">
      <c r="A21" s="23">
        <v>18</v>
      </c>
      <c r="B21" s="28" t="str">
        <f t="shared" si="0"/>
        <v>No</v>
      </c>
      <c r="C21" s="6">
        <f>IF(AND(B21="No",B20="Yes"),start_sal_A,IF(AND('Loan Schedule A'!B21="No",'Loan Schedule A'!B20="No"),'Loan Schedule A'!C20*(1+Sal_Inc),sal_A))</f>
        <v>39598.631988787965</v>
      </c>
      <c r="D21" s="6">
        <f t="shared" si="1"/>
        <v>0</v>
      </c>
      <c r="E21" s="3">
        <f t="shared" si="3"/>
        <v>1438.2776941614288</v>
      </c>
      <c r="F21" s="3">
        <f>IF(B21="Yes",0,MAX(0,MIN(E21,(C21-Parameters!$B$15)*Parameters!$B$16)))</f>
        <v>1438.2776941614288</v>
      </c>
      <c r="G21" s="7">
        <f t="shared" si="2"/>
        <v>0</v>
      </c>
      <c r="H21" s="52" t="str">
        <f t="shared" si="4"/>
        <v>Decrease</v>
      </c>
    </row>
    <row r="22" spans="1:8" x14ac:dyDescent="0.2">
      <c r="A22" s="23">
        <v>19</v>
      </c>
      <c r="B22" s="28" t="str">
        <f t="shared" si="0"/>
        <v>No</v>
      </c>
      <c r="C22" s="6">
        <f>IF(AND(B22="No",B21="Yes"),start_sal_A,IF(AND('Loan Schedule A'!B22="No",'Loan Schedule A'!B21="No"),'Loan Schedule A'!C21*(1+Sal_Inc),sal_A))</f>
        <v>41578.563588227364</v>
      </c>
      <c r="D22" s="6">
        <f t="shared" si="1"/>
        <v>0</v>
      </c>
      <c r="E22" s="3">
        <f t="shared" si="3"/>
        <v>0</v>
      </c>
      <c r="F22" s="3">
        <f>IF(B22="Yes",0,MAX(0,MIN(E22,(C22-Parameters!$B$15)*Parameters!$B$16)))</f>
        <v>0</v>
      </c>
      <c r="G22" s="7">
        <f t="shared" si="2"/>
        <v>0</v>
      </c>
      <c r="H22" s="52" t="str">
        <f t="shared" si="4"/>
        <v/>
      </c>
    </row>
    <row r="23" spans="1:8" x14ac:dyDescent="0.2">
      <c r="A23" s="23">
        <v>20</v>
      </c>
      <c r="B23" s="28" t="str">
        <f t="shared" si="0"/>
        <v>No</v>
      </c>
      <c r="C23" s="6">
        <f>IF(AND(B23="No",B22="Yes"),start_sal_A,IF(AND('Loan Schedule A'!B23="No",'Loan Schedule A'!B22="No"),'Loan Schedule A'!C22*(1+Sal_Inc),sal_A))</f>
        <v>43657.491767638734</v>
      </c>
      <c r="D23" s="6">
        <f t="shared" si="1"/>
        <v>0</v>
      </c>
      <c r="E23" s="3">
        <f t="shared" si="3"/>
        <v>0</v>
      </c>
      <c r="F23" s="3">
        <f>IF(B23="Yes",0,MAX(0,MIN(E23,(C23-Parameters!$B$15)*Parameters!$B$16)))</f>
        <v>0</v>
      </c>
      <c r="G23" s="7">
        <f t="shared" si="2"/>
        <v>0</v>
      </c>
      <c r="H23" s="52" t="str">
        <f t="shared" si="4"/>
        <v/>
      </c>
    </row>
    <row r="24" spans="1:8" x14ac:dyDescent="0.2">
      <c r="A24" s="23">
        <v>21</v>
      </c>
      <c r="B24" s="28" t="str">
        <f t="shared" si="0"/>
        <v>No</v>
      </c>
      <c r="C24" s="6">
        <f>IF(AND(B24="No",B23="Yes"),start_sal_A,IF(AND('Loan Schedule A'!B24="No",'Loan Schedule A'!B23="No"),'Loan Schedule A'!C23*(1+Sal_Inc),sal_A))</f>
        <v>45840.36635602067</v>
      </c>
      <c r="D24" s="6">
        <f t="shared" si="1"/>
        <v>0</v>
      </c>
      <c r="E24" s="3">
        <f t="shared" si="3"/>
        <v>0</v>
      </c>
      <c r="F24" s="3">
        <f>IF(B24="Yes",0,MAX(0,MIN(E24,(C24-Parameters!$B$15)*Parameters!$B$16)))</f>
        <v>0</v>
      </c>
      <c r="G24" s="7">
        <f t="shared" si="2"/>
        <v>0</v>
      </c>
      <c r="H24" s="52" t="str">
        <f t="shared" si="4"/>
        <v/>
      </c>
    </row>
    <row r="25" spans="1:8" x14ac:dyDescent="0.2">
      <c r="A25" s="23">
        <v>22</v>
      </c>
      <c r="B25" s="28" t="str">
        <f t="shared" si="0"/>
        <v>No</v>
      </c>
      <c r="C25" s="6">
        <f>IF(AND(B25="No",B24="Yes"),start_sal_A,IF(AND('Loan Schedule A'!B25="No",'Loan Schedule A'!B24="No"),'Loan Schedule A'!C24*(1+Sal_Inc),sal_A))</f>
        <v>48132.384673821703</v>
      </c>
      <c r="D25" s="6">
        <f t="shared" si="1"/>
        <v>0</v>
      </c>
      <c r="E25" s="3">
        <f t="shared" si="3"/>
        <v>0</v>
      </c>
      <c r="F25" s="3">
        <f>IF(B25="Yes",0,MAX(0,MIN(E25,(C25-Parameters!$B$15)*Parameters!$B$16)))</f>
        <v>0</v>
      </c>
      <c r="G25" s="7">
        <f t="shared" si="2"/>
        <v>0</v>
      </c>
      <c r="H25" s="52" t="str">
        <f t="shared" si="4"/>
        <v/>
      </c>
    </row>
    <row r="26" spans="1:8" x14ac:dyDescent="0.2">
      <c r="A26" s="23">
        <v>23</v>
      </c>
      <c r="B26" s="28" t="str">
        <f t="shared" si="0"/>
        <v>No</v>
      </c>
      <c r="C26" s="6">
        <f>IF(AND(B26="No",B25="Yes"),start_sal_A,IF(AND('Loan Schedule A'!B26="No",'Loan Schedule A'!B25="No"),'Loan Schedule A'!C25*(1+Sal_Inc),sal_A))</f>
        <v>50539.003907512793</v>
      </c>
      <c r="D26" s="6">
        <f t="shared" si="1"/>
        <v>0</v>
      </c>
      <c r="E26" s="3">
        <f t="shared" si="3"/>
        <v>0</v>
      </c>
      <c r="F26" s="3">
        <f>IF(B26="Yes",0,MAX(0,MIN(E26,(C26-Parameters!$B$15)*Parameters!$B$16)))</f>
        <v>0</v>
      </c>
      <c r="G26" s="7">
        <f t="shared" si="2"/>
        <v>0</v>
      </c>
      <c r="H26" s="52" t="str">
        <f t="shared" si="4"/>
        <v/>
      </c>
    </row>
    <row r="27" spans="1:8" x14ac:dyDescent="0.2">
      <c r="A27" s="23">
        <v>24</v>
      </c>
      <c r="B27" s="28" t="str">
        <f t="shared" si="0"/>
        <v>No</v>
      </c>
      <c r="C27" s="6">
        <f>IF(AND(B27="No",B26="Yes"),start_sal_A,IF(AND('Loan Schedule A'!B27="No",'Loan Schedule A'!B26="No"),'Loan Schedule A'!C26*(1+Sal_Inc),sal_A))</f>
        <v>53065.954102888434</v>
      </c>
      <c r="D27" s="6">
        <f t="shared" si="1"/>
        <v>0</v>
      </c>
      <c r="E27" s="3">
        <f t="shared" si="3"/>
        <v>0</v>
      </c>
      <c r="F27" s="3">
        <f>IF(B27="Yes",0,MAX(0,MIN(E27,(C27-Parameters!$B$15)*Parameters!$B$16)))</f>
        <v>0</v>
      </c>
      <c r="G27" s="7">
        <f t="shared" si="2"/>
        <v>0</v>
      </c>
      <c r="H27" s="52" t="str">
        <f t="shared" si="4"/>
        <v/>
      </c>
    </row>
    <row r="28" spans="1:8" x14ac:dyDescent="0.2">
      <c r="A28" s="23">
        <v>25</v>
      </c>
      <c r="B28" s="28" t="str">
        <f t="shared" si="0"/>
        <v>No</v>
      </c>
      <c r="C28" s="6">
        <f>IF(AND(B28="No",B27="Yes"),start_sal_A,IF(AND('Loan Schedule A'!B28="No",'Loan Schedule A'!B27="No"),'Loan Schedule A'!C27*(1+Sal_Inc),sal_A))</f>
        <v>55719.251808032859</v>
      </c>
      <c r="D28" s="6">
        <f t="shared" si="1"/>
        <v>0</v>
      </c>
      <c r="E28" s="3">
        <f t="shared" si="3"/>
        <v>0</v>
      </c>
      <c r="F28" s="3">
        <f>IF(B28="Yes",0,MAX(0,MIN(E28,(C28-Parameters!$B$15)*Parameters!$B$16)))</f>
        <v>0</v>
      </c>
      <c r="G28" s="7">
        <f t="shared" si="2"/>
        <v>0</v>
      </c>
      <c r="H28" s="52" t="str">
        <f t="shared" si="4"/>
        <v/>
      </c>
    </row>
    <row r="29" spans="1:8" x14ac:dyDescent="0.2">
      <c r="A29" s="23">
        <v>26</v>
      </c>
      <c r="B29" s="28" t="str">
        <f t="shared" si="0"/>
        <v>No</v>
      </c>
      <c r="C29" s="6">
        <f>IF(AND(B29="No",B28="Yes"),start_sal_A,IF(AND('Loan Schedule A'!B29="No",'Loan Schedule A'!B28="No"),'Loan Schedule A'!C28*(1+Sal_Inc),sal_A))</f>
        <v>58505.214398434502</v>
      </c>
      <c r="D29" s="6">
        <f t="shared" si="1"/>
        <v>0</v>
      </c>
      <c r="E29" s="3">
        <f t="shared" si="3"/>
        <v>0</v>
      </c>
      <c r="F29" s="3">
        <f>IF(B29="Yes",0,MAX(0,MIN(E29,(C29-Parameters!$B$15)*Parameters!$B$16)))</f>
        <v>0</v>
      </c>
      <c r="G29" s="7">
        <f t="shared" si="2"/>
        <v>0</v>
      </c>
      <c r="H29" s="52" t="str">
        <f t="shared" si="4"/>
        <v/>
      </c>
    </row>
    <row r="30" spans="1:8" x14ac:dyDescent="0.2">
      <c r="A30" s="23">
        <v>27</v>
      </c>
      <c r="B30" s="28" t="str">
        <f t="shared" si="0"/>
        <v>No</v>
      </c>
      <c r="C30" s="6">
        <f>IF(AND(B30="No",B29="Yes"),start_sal_A,IF(AND('Loan Schedule A'!B30="No",'Loan Schedule A'!B29="No"),'Loan Schedule A'!C29*(1+Sal_Inc),sal_A))</f>
        <v>61430.475118356233</v>
      </c>
      <c r="D30" s="6">
        <f t="shared" si="1"/>
        <v>0</v>
      </c>
      <c r="E30" s="3">
        <f t="shared" si="3"/>
        <v>0</v>
      </c>
      <c r="F30" s="3">
        <f>IF(B30="Yes",0,MAX(0,MIN(E30,(C30-Parameters!$B$15)*Parameters!$B$16)))</f>
        <v>0</v>
      </c>
      <c r="G30" s="7">
        <f t="shared" si="2"/>
        <v>0</v>
      </c>
      <c r="H30" s="52" t="str">
        <f t="shared" si="4"/>
        <v/>
      </c>
    </row>
    <row r="31" spans="1:8" x14ac:dyDescent="0.2">
      <c r="A31" s="23">
        <v>28</v>
      </c>
      <c r="B31" s="28" t="str">
        <f t="shared" si="0"/>
        <v>No</v>
      </c>
      <c r="C31" s="6">
        <f>IF(AND(B31="No",B30="Yes"),start_sal_A,IF(AND('Loan Schedule A'!B31="No",'Loan Schedule A'!B30="No"),'Loan Schedule A'!C30*(1+Sal_Inc),sal_A))</f>
        <v>64501.998874274046</v>
      </c>
      <c r="D31" s="6">
        <f t="shared" si="1"/>
        <v>0</v>
      </c>
      <c r="E31" s="3">
        <f t="shared" si="3"/>
        <v>0</v>
      </c>
      <c r="F31" s="3">
        <f>IF(B31="Yes",0,MAX(0,MIN(E31,(C31-Parameters!$B$15)*Parameters!$B$16)))</f>
        <v>0</v>
      </c>
      <c r="G31" s="7">
        <f t="shared" si="2"/>
        <v>0</v>
      </c>
      <c r="H31" s="52" t="str">
        <f t="shared" si="4"/>
        <v/>
      </c>
    </row>
    <row r="32" spans="1:8" x14ac:dyDescent="0.2">
      <c r="A32" s="23">
        <v>29</v>
      </c>
      <c r="B32" s="28" t="str">
        <f t="shared" si="0"/>
        <v>No</v>
      </c>
      <c r="C32" s="6">
        <f>IF(AND(B32="No",B31="Yes"),start_sal_A,IF(AND('Loan Schedule A'!B32="No",'Loan Schedule A'!B31="No"),'Loan Schedule A'!C31*(1+Sal_Inc),sal_A))</f>
        <v>67727.098817987746</v>
      </c>
      <c r="D32" s="6">
        <f t="shared" si="1"/>
        <v>0</v>
      </c>
      <c r="E32" s="3">
        <f t="shared" si="3"/>
        <v>0</v>
      </c>
      <c r="F32" s="3">
        <f>IF(B32="Yes",0,MAX(0,MIN(E32,(C32-Parameters!$B$15)*Parameters!$B$16)))</f>
        <v>0</v>
      </c>
      <c r="G32" s="7">
        <f t="shared" si="2"/>
        <v>0</v>
      </c>
      <c r="H32" s="52" t="str">
        <f t="shared" si="4"/>
        <v/>
      </c>
    </row>
    <row r="33" spans="1:8" x14ac:dyDescent="0.2">
      <c r="A33" s="23">
        <v>30</v>
      </c>
      <c r="B33" s="28" t="str">
        <f t="shared" si="0"/>
        <v>No</v>
      </c>
      <c r="C33" s="6">
        <f>IF(AND(B33="No",B32="Yes"),start_sal_A,IF(AND('Loan Schedule A'!B33="No",'Loan Schedule A'!B32="No"),'Loan Schedule A'!C32*(1+Sal_Inc),sal_A))</f>
        <v>71113.453758887132</v>
      </c>
      <c r="D33" s="6">
        <f t="shared" si="1"/>
        <v>0</v>
      </c>
      <c r="E33" s="3">
        <f t="shared" si="3"/>
        <v>0</v>
      </c>
      <c r="F33" s="3">
        <f>IF(B33="Yes",0,MAX(0,MIN(E33,(C33-Parameters!$B$15)*Parameters!$B$16)))</f>
        <v>0</v>
      </c>
      <c r="G33" s="7">
        <f t="shared" si="2"/>
        <v>0</v>
      </c>
      <c r="H33" s="52" t="str">
        <f t="shared" si="4"/>
        <v/>
      </c>
    </row>
    <row r="34" spans="1:8" x14ac:dyDescent="0.2">
      <c r="A34" s="23">
        <v>31</v>
      </c>
      <c r="B34" s="28" t="str">
        <f t="shared" si="0"/>
        <v>No</v>
      </c>
      <c r="C34" s="6">
        <f>IF(AND(B34="No",B33="Yes"),start_sal_A,IF(AND('Loan Schedule A'!B34="No",'Loan Schedule A'!B33="No"),'Loan Schedule A'!C33*(1+Sal_Inc),sal_A))</f>
        <v>74669.126446831491</v>
      </c>
      <c r="D34" s="6">
        <f t="shared" si="1"/>
        <v>0</v>
      </c>
      <c r="E34" s="3">
        <f t="shared" si="3"/>
        <v>0</v>
      </c>
      <c r="F34" s="3">
        <f>IF(B34="Yes",0,MAX(0,MIN(E34,(C34-Parameters!$B$15)*Parameters!$B$16)))</f>
        <v>0</v>
      </c>
      <c r="G34" s="7">
        <f t="shared" si="2"/>
        <v>0</v>
      </c>
      <c r="H34" s="52" t="str">
        <f t="shared" si="4"/>
        <v/>
      </c>
    </row>
    <row r="35" spans="1:8" x14ac:dyDescent="0.2">
      <c r="A35" s="23">
        <v>32</v>
      </c>
      <c r="B35" s="28" t="str">
        <f t="shared" si="0"/>
        <v>No</v>
      </c>
      <c r="C35" s="6">
        <f>IF(AND(B35="No",B34="Yes"),start_sal_A,IF(AND('Loan Schedule A'!B35="No",'Loan Schedule A'!B34="No"),'Loan Schedule A'!C34*(1+Sal_Inc),sal_A))</f>
        <v>78402.582769173066</v>
      </c>
      <c r="D35" s="6">
        <f t="shared" si="1"/>
        <v>0</v>
      </c>
      <c r="E35" s="3">
        <f t="shared" si="3"/>
        <v>0</v>
      </c>
      <c r="F35" s="3">
        <f>IF(B35="Yes",0,MAX(0,MIN(E35,(C35-Parameters!$B$15)*Parameters!$B$16)))</f>
        <v>0</v>
      </c>
      <c r="G35" s="7">
        <f t="shared" si="2"/>
        <v>0</v>
      </c>
      <c r="H35" s="52" t="str">
        <f t="shared" si="4"/>
        <v/>
      </c>
    </row>
    <row r="36" spans="1:8" x14ac:dyDescent="0.2">
      <c r="A36" s="23">
        <v>33</v>
      </c>
      <c r="B36" s="28" t="str">
        <f t="shared" si="0"/>
        <v>No</v>
      </c>
      <c r="C36" s="6">
        <f>IF(AND(B36="No",B35="Yes"),start_sal_A,IF(AND('Loan Schedule A'!B36="No",'Loan Schedule A'!B35="No"),'Loan Schedule A'!C35*(1+Sal_Inc),sal_A))</f>
        <v>82322.711907631718</v>
      </c>
      <c r="D36" s="6">
        <f t="shared" si="1"/>
        <v>0</v>
      </c>
      <c r="E36" s="3">
        <f t="shared" si="3"/>
        <v>0</v>
      </c>
      <c r="F36" s="3">
        <f>IF(B36="Yes",0,MAX(0,MIN(E36,(C36-Parameters!$B$15)*Parameters!$B$16)))</f>
        <v>0</v>
      </c>
      <c r="G36" s="7">
        <f t="shared" si="2"/>
        <v>0</v>
      </c>
      <c r="H36" s="52" t="str">
        <f t="shared" si="4"/>
        <v/>
      </c>
    </row>
    <row r="37" spans="1:8" x14ac:dyDescent="0.2">
      <c r="A37" s="23">
        <v>34</v>
      </c>
      <c r="B37" s="28" t="str">
        <f t="shared" si="0"/>
        <v>No</v>
      </c>
      <c r="C37" s="6">
        <f>IF(AND(B37="No",B36="Yes"),start_sal_A,IF(AND('Loan Schedule A'!B37="No",'Loan Schedule A'!B36="No"),'Loan Schedule A'!C36*(1+Sal_Inc),sal_A))</f>
        <v>86438.847503013312</v>
      </c>
      <c r="D37" s="6">
        <f t="shared" si="1"/>
        <v>0</v>
      </c>
      <c r="E37" s="3">
        <f t="shared" si="3"/>
        <v>0</v>
      </c>
      <c r="F37" s="3">
        <f>IF(B37="Yes",0,MAX(0,MIN(E37,(C37-Parameters!$B$15)*Parameters!$B$16)))</f>
        <v>0</v>
      </c>
      <c r="G37" s="7">
        <f t="shared" si="2"/>
        <v>0</v>
      </c>
      <c r="H37" s="52" t="str">
        <f t="shared" si="4"/>
        <v/>
      </c>
    </row>
    <row r="38" spans="1:8" x14ac:dyDescent="0.2">
      <c r="A38" s="23">
        <v>35</v>
      </c>
      <c r="B38" s="28" t="str">
        <f t="shared" si="0"/>
        <v>No</v>
      </c>
      <c r="C38" s="6">
        <f>IF(AND(B38="No",B37="Yes"),start_sal_A,IF(AND('Loan Schedule A'!B38="No",'Loan Schedule A'!B37="No"),'Loan Schedule A'!C37*(1+Sal_Inc),sal_A))</f>
        <v>90760.789878163981</v>
      </c>
      <c r="D38" s="6">
        <f t="shared" si="1"/>
        <v>0</v>
      </c>
      <c r="E38" s="3">
        <f t="shared" si="3"/>
        <v>0</v>
      </c>
      <c r="F38" s="3">
        <f>IF(B38="Yes",0,MAX(0,MIN(E38,(C38-Parameters!$B$15)*Parameters!$B$16)))</f>
        <v>0</v>
      </c>
      <c r="G38" s="7">
        <f t="shared" si="2"/>
        <v>0</v>
      </c>
      <c r="H38" s="52" t="str">
        <f t="shared" si="4"/>
        <v/>
      </c>
    </row>
    <row r="39" spans="1:8" x14ac:dyDescent="0.2">
      <c r="A39" s="23">
        <v>36</v>
      </c>
      <c r="B39" s="28" t="str">
        <f t="shared" si="0"/>
        <v>No</v>
      </c>
      <c r="C39" s="6">
        <f>IF(AND(B39="No",B38="Yes"),start_sal_A,IF(AND('Loan Schedule A'!B39="No",'Loan Schedule A'!B38="No"),'Loan Schedule A'!C38*(1+Sal_Inc),sal_A))</f>
        <v>95298.829372072185</v>
      </c>
      <c r="D39" s="6">
        <f t="shared" si="1"/>
        <v>0</v>
      </c>
      <c r="E39" s="3">
        <f t="shared" si="3"/>
        <v>0</v>
      </c>
      <c r="F39" s="3">
        <f>IF(B39="Yes",0,MAX(0,MIN(E39,(C39-Parameters!$B$15)*Parameters!$B$16)))</f>
        <v>0</v>
      </c>
      <c r="G39" s="7">
        <f t="shared" si="2"/>
        <v>0</v>
      </c>
      <c r="H39" s="52" t="str">
        <f t="shared" si="4"/>
        <v/>
      </c>
    </row>
    <row r="40" spans="1:8" x14ac:dyDescent="0.2">
      <c r="A40" s="23">
        <v>37</v>
      </c>
      <c r="B40" s="28" t="str">
        <f t="shared" si="0"/>
        <v>No</v>
      </c>
      <c r="C40" s="6">
        <f>IF(AND(B40="No",B39="Yes"),start_sal_A,IF(AND('Loan Schedule A'!B40="No",'Loan Schedule A'!B39="No"),'Loan Schedule A'!C39*(1+Sal_Inc),sal_A))</f>
        <v>100063.7708406758</v>
      </c>
      <c r="D40" s="6">
        <f t="shared" si="1"/>
        <v>0</v>
      </c>
      <c r="E40" s="3">
        <f t="shared" si="3"/>
        <v>0</v>
      </c>
      <c r="F40" s="3">
        <f>IF(B40="Yes",0,MAX(0,MIN(E40,(C40-Parameters!$B$15)*Parameters!$B$16)))</f>
        <v>0</v>
      </c>
      <c r="G40" s="7">
        <f t="shared" si="2"/>
        <v>0</v>
      </c>
      <c r="H40" s="52" t="str">
        <f t="shared" si="4"/>
        <v/>
      </c>
    </row>
    <row r="41" spans="1:8" x14ac:dyDescent="0.2">
      <c r="A41" s="23">
        <v>38</v>
      </c>
      <c r="B41" s="28" t="str">
        <f t="shared" si="0"/>
        <v>No</v>
      </c>
      <c r="C41" s="6">
        <f>IF(AND(B41="No",B40="Yes"),start_sal_A,IF(AND('Loan Schedule A'!B41="No",'Loan Schedule A'!B40="No"),'Loan Schedule A'!C40*(1+Sal_Inc),sal_A))</f>
        <v>105066.9593827096</v>
      </c>
      <c r="D41" s="6">
        <f t="shared" si="1"/>
        <v>0</v>
      </c>
      <c r="E41" s="3">
        <f t="shared" si="3"/>
        <v>0</v>
      </c>
      <c r="F41" s="3">
        <f>IF(B41="Yes",0,MAX(0,MIN(E41,(C41-Parameters!$B$15)*Parameters!$B$16)))</f>
        <v>0</v>
      </c>
      <c r="G41" s="7">
        <f t="shared" si="2"/>
        <v>0</v>
      </c>
      <c r="H41" s="52" t="str">
        <f t="shared" si="4"/>
        <v/>
      </c>
    </row>
    <row r="42" spans="1:8" x14ac:dyDescent="0.2">
      <c r="A42" s="23">
        <v>39</v>
      </c>
      <c r="B42" s="28" t="str">
        <f t="shared" si="0"/>
        <v>No</v>
      </c>
      <c r="C42" s="6">
        <f>IF(AND(B42="No",B41="Yes"),start_sal_A,IF(AND('Loan Schedule A'!B42="No",'Loan Schedule A'!B41="No"),'Loan Schedule A'!C41*(1+Sal_Inc),sal_A))</f>
        <v>110320.30735184508</v>
      </c>
      <c r="D42" s="6">
        <f t="shared" si="1"/>
        <v>0</v>
      </c>
      <c r="E42" s="3">
        <f t="shared" si="3"/>
        <v>0</v>
      </c>
      <c r="F42" s="3">
        <f>IF(B42="Yes",0,MAX(0,MIN(E42,(C42-Parameters!$B$15)*Parameters!$B$16)))</f>
        <v>0</v>
      </c>
      <c r="G42" s="7">
        <f t="shared" si="2"/>
        <v>0</v>
      </c>
      <c r="H42" s="52" t="str">
        <f t="shared" si="4"/>
        <v/>
      </c>
    </row>
    <row r="43" spans="1:8" x14ac:dyDescent="0.2">
      <c r="A43" s="24">
        <v>40</v>
      </c>
      <c r="B43" s="29" t="str">
        <f t="shared" si="0"/>
        <v>No</v>
      </c>
      <c r="C43" s="30">
        <f>IF(AND(B43="No",B42="Yes"),start_sal_A,IF(AND('Loan Schedule A'!B43="No",'Loan Schedule A'!B42="No"),'Loan Schedule A'!C42*(1+Sal_Inc),sal_A))</f>
        <v>115836.32271943735</v>
      </c>
      <c r="D43" s="30">
        <f t="shared" si="1"/>
        <v>0</v>
      </c>
      <c r="E43" s="31">
        <f t="shared" si="3"/>
        <v>0</v>
      </c>
      <c r="F43" s="31">
        <f>IF(B43="Yes",0,MAX(0,MIN(E43,(C43-Parameters!$B$15)*Parameters!$B$16)))</f>
        <v>0</v>
      </c>
      <c r="G43" s="32">
        <f t="shared" si="2"/>
        <v>0</v>
      </c>
      <c r="H43" s="52" t="str">
        <f t="shared" si="4"/>
        <v/>
      </c>
    </row>
    <row r="44" spans="1:8" x14ac:dyDescent="0.2">
      <c r="C44" s="2"/>
      <c r="D44" s="2"/>
      <c r="E44" s="3"/>
      <c r="F44" s="3"/>
      <c r="G44" s="2"/>
    </row>
    <row r="45" spans="1:8" x14ac:dyDescent="0.2">
      <c r="C45" s="2"/>
      <c r="D45" s="2"/>
      <c r="E45" s="3"/>
      <c r="F45" s="3"/>
      <c r="G45" s="2"/>
    </row>
    <row r="46" spans="1:8" x14ac:dyDescent="0.2">
      <c r="C46" s="2"/>
      <c r="D46" s="2"/>
      <c r="E46" s="3"/>
      <c r="F46" s="3"/>
      <c r="G46" s="2"/>
    </row>
    <row r="47" spans="1:8" x14ac:dyDescent="0.2">
      <c r="C47" s="2"/>
      <c r="D47" s="2"/>
      <c r="E47" s="3"/>
      <c r="F47" s="3"/>
      <c r="G47" s="2"/>
    </row>
    <row r="48" spans="1:8" x14ac:dyDescent="0.2">
      <c r="C48" s="2"/>
      <c r="D48" s="2"/>
      <c r="E48" s="3"/>
      <c r="F48" s="3"/>
      <c r="G48" s="2"/>
    </row>
    <row r="49" spans="3:7" x14ac:dyDescent="0.2">
      <c r="C49" s="2"/>
      <c r="D49" s="2"/>
      <c r="E49" s="3"/>
      <c r="F49" s="3"/>
      <c r="G49" s="2"/>
    </row>
    <row r="50" spans="3:7" x14ac:dyDescent="0.2">
      <c r="C50" s="2"/>
      <c r="D50" s="2"/>
      <c r="E50" s="3"/>
      <c r="F50" s="3"/>
      <c r="G50" s="2"/>
    </row>
    <row r="51" spans="3:7" x14ac:dyDescent="0.2">
      <c r="C51" s="2"/>
      <c r="D51" s="2"/>
      <c r="E51" s="3"/>
      <c r="F51" s="3"/>
      <c r="G51" s="2"/>
    </row>
    <row r="52" spans="3:7" x14ac:dyDescent="0.2">
      <c r="C52" s="2"/>
      <c r="D52" s="2"/>
      <c r="E52" s="3"/>
      <c r="F52" s="3"/>
      <c r="G52" s="2"/>
    </row>
    <row r="53" spans="3:7" x14ac:dyDescent="0.2">
      <c r="C53" s="2"/>
      <c r="D53" s="2"/>
      <c r="E53" s="3"/>
      <c r="F53" s="3"/>
      <c r="G53" s="2"/>
    </row>
    <row r="54" spans="3:7" x14ac:dyDescent="0.2">
      <c r="C54" s="2"/>
      <c r="D54" s="2"/>
      <c r="E54" s="3"/>
      <c r="F54" s="3"/>
      <c r="G54" s="2"/>
    </row>
    <row r="55" spans="3:7" x14ac:dyDescent="0.2">
      <c r="C55" s="2"/>
      <c r="D55" s="2"/>
      <c r="E55" s="3"/>
      <c r="F55" s="3"/>
      <c r="G55" s="2"/>
    </row>
    <row r="56" spans="3:7" x14ac:dyDescent="0.2">
      <c r="C56" s="2"/>
      <c r="D56" s="2"/>
      <c r="E56" s="3"/>
      <c r="F56" s="3"/>
      <c r="G56" s="2"/>
    </row>
    <row r="57" spans="3:7" x14ac:dyDescent="0.2">
      <c r="C57" s="2"/>
      <c r="D57" s="2"/>
      <c r="E57" s="3"/>
      <c r="F57" s="3"/>
      <c r="G57" s="2"/>
    </row>
    <row r="58" spans="3:7" x14ac:dyDescent="0.2">
      <c r="C58" s="2"/>
      <c r="D58" s="2"/>
      <c r="E58" s="3"/>
      <c r="F58" s="3"/>
      <c r="G58" s="2"/>
    </row>
    <row r="59" spans="3:7" x14ac:dyDescent="0.2">
      <c r="C59" s="2"/>
      <c r="D59" s="2"/>
      <c r="E59" s="3"/>
      <c r="F59" s="3"/>
      <c r="G59" s="2"/>
    </row>
    <row r="60" spans="3:7" x14ac:dyDescent="0.2">
      <c r="C60" s="2"/>
      <c r="D60" s="2"/>
      <c r="E60" s="3"/>
      <c r="F60" s="3"/>
      <c r="G60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3"/>
  <sheetViews>
    <sheetView workbookViewId="0"/>
  </sheetViews>
  <sheetFormatPr defaultRowHeight="12.75" x14ac:dyDescent="0.2"/>
  <cols>
    <col min="2" max="2" width="12.140625" bestFit="1" customWidth="1"/>
    <col min="3" max="4" width="12.140625" customWidth="1"/>
    <col min="5" max="5" width="22.140625" bestFit="1" customWidth="1"/>
    <col min="6" max="6" width="11.42578125" bestFit="1" customWidth="1"/>
    <col min="7" max="8" width="17" bestFit="1" customWidth="1"/>
  </cols>
  <sheetData>
    <row r="1" spans="1:8" s="11" customFormat="1" x14ac:dyDescent="0.2">
      <c r="A1" s="33" t="s">
        <v>21</v>
      </c>
    </row>
    <row r="3" spans="1:8" x14ac:dyDescent="0.2">
      <c r="A3" s="22" t="s">
        <v>3</v>
      </c>
      <c r="B3" s="20" t="s">
        <v>6</v>
      </c>
      <c r="C3" s="20" t="s">
        <v>2</v>
      </c>
      <c r="D3" s="20" t="s">
        <v>7</v>
      </c>
      <c r="E3" s="20" t="s">
        <v>4</v>
      </c>
      <c r="F3" s="20" t="s">
        <v>5</v>
      </c>
      <c r="G3" s="21" t="s">
        <v>8</v>
      </c>
      <c r="H3" s="52" t="s">
        <v>28</v>
      </c>
    </row>
    <row r="4" spans="1:8" x14ac:dyDescent="0.2">
      <c r="A4" s="23">
        <v>1</v>
      </c>
      <c r="B4" t="str">
        <f t="shared" ref="B4:B43" si="0">IF(A4&lt;=years_B,"Yes","No")</f>
        <v>Yes</v>
      </c>
      <c r="C4" s="6">
        <f>IF(AND(B4="No",B3="Yes"),start_sal_B,IF(AND('Loan Schedule B'!B4="No",'Loan Schedule B'!B3="No"),'Loan Schedule B'!C3*(1+Sal_Inc),sal_B))</f>
        <v>0</v>
      </c>
      <c r="D4" s="6">
        <f t="shared" ref="D4:D43" si="1">IF(B4="Yes",loan_B,0)</f>
        <v>10000</v>
      </c>
      <c r="E4" s="43">
        <f>D4</f>
        <v>10000</v>
      </c>
      <c r="F4" s="3">
        <f>IF(B4="Yes",0,MAX(0,MIN(E4,(C4-Parameters!$B$15)*Parameters!$B$16)))</f>
        <v>0</v>
      </c>
      <c r="G4" s="7">
        <f>IF(E4=F4,0,E4*(1+infl)-'Loan Schedule B'!F4*(1+infl)^0.5)</f>
        <v>10250</v>
      </c>
      <c r="H4" s="52"/>
    </row>
    <row r="5" spans="1:8" x14ac:dyDescent="0.2">
      <c r="A5" s="23">
        <v>2</v>
      </c>
      <c r="B5" t="str">
        <f t="shared" si="0"/>
        <v>Yes</v>
      </c>
      <c r="C5" s="6">
        <f>IF(AND(B5="No",B4="Yes"),start_sal_B,IF(AND('Loan Schedule B'!B5="No",'Loan Schedule B'!B4="No"),'Loan Schedule B'!C4*(1+Sal_Inc),sal_B))</f>
        <v>0</v>
      </c>
      <c r="D5" s="6">
        <f t="shared" si="1"/>
        <v>10000</v>
      </c>
      <c r="E5" s="3">
        <f>D5+G4</f>
        <v>20250</v>
      </c>
      <c r="F5" s="3">
        <f>IF(B5="Yes",0,MAX(0,MIN(E5,(C5-Parameters!$B$15)*Parameters!$B$16)))</f>
        <v>0</v>
      </c>
      <c r="G5" s="7">
        <f>IF(E5=F5,0,E5*(1+infl)-'Loan Schedule B'!F5*(1+infl)^0.5)</f>
        <v>20756.25</v>
      </c>
      <c r="H5" s="52" t="str">
        <f>IF(G5&gt;G4,"Increase",IF(G5&lt;G4,"Decrease",""))</f>
        <v>Increase</v>
      </c>
    </row>
    <row r="6" spans="1:8" x14ac:dyDescent="0.2">
      <c r="A6" s="23">
        <v>3</v>
      </c>
      <c r="B6" t="str">
        <f t="shared" si="0"/>
        <v>Yes</v>
      </c>
      <c r="C6" s="6">
        <f>IF(AND(B6="No",B5="Yes"),start_sal_B,IF(AND('Loan Schedule B'!B6="No",'Loan Schedule B'!B5="No"),'Loan Schedule B'!C5*(1+Sal_Inc),sal_B))</f>
        <v>0</v>
      </c>
      <c r="D6" s="6">
        <f t="shared" si="1"/>
        <v>10000</v>
      </c>
      <c r="E6" s="3">
        <f t="shared" ref="E6:E33" si="2">D6+G5</f>
        <v>30756.25</v>
      </c>
      <c r="F6" s="3">
        <f>IF(B6="Yes",0,MAX(0,MIN(E6,(C6-Parameters!$B$15)*Parameters!$B$16)))</f>
        <v>0</v>
      </c>
      <c r="G6" s="7">
        <f>IF(E6=F6,0,E6*(1+infl)-'Loan Schedule B'!F6*(1+infl)^0.5)</f>
        <v>31525.156249999996</v>
      </c>
      <c r="H6" s="52" t="str">
        <f t="shared" ref="H6:H43" si="3">IF(G6&gt;G5,"Increase",IF(G6&lt;G5,"Decrease",""))</f>
        <v>Increase</v>
      </c>
    </row>
    <row r="7" spans="1:8" x14ac:dyDescent="0.2">
      <c r="A7" s="23">
        <v>4</v>
      </c>
      <c r="B7" t="str">
        <f t="shared" si="0"/>
        <v>Yes</v>
      </c>
      <c r="C7" s="6">
        <f>IF(AND(B7="No",B6="Yes"),start_sal_B,IF(AND('Loan Schedule B'!B7="No",'Loan Schedule B'!B6="No"),'Loan Schedule B'!C6*(1+Sal_Inc),sal_B))</f>
        <v>0</v>
      </c>
      <c r="D7" s="6">
        <f t="shared" si="1"/>
        <v>10000</v>
      </c>
      <c r="E7" s="3">
        <f t="shared" si="2"/>
        <v>41525.15625</v>
      </c>
      <c r="F7" s="3">
        <f>IF(B7="Yes",0,MAX(0,MIN(E7,(C7-Parameters!$B$15)*Parameters!$B$16)))</f>
        <v>0</v>
      </c>
      <c r="G7" s="7">
        <f>IF(E7=F7,0,E7*(1+infl)-'Loan Schedule B'!F7*(1+infl)^0.5)</f>
        <v>42563.285156249993</v>
      </c>
      <c r="H7" s="52" t="str">
        <f t="shared" si="3"/>
        <v>Increase</v>
      </c>
    </row>
    <row r="8" spans="1:8" x14ac:dyDescent="0.2">
      <c r="A8" s="23">
        <v>5</v>
      </c>
      <c r="B8" t="str">
        <f t="shared" si="0"/>
        <v>Yes</v>
      </c>
      <c r="C8" s="6">
        <f>IF(AND(B8="No",B7="Yes"),start_sal_B,IF(AND('Loan Schedule B'!B8="No",'Loan Schedule B'!B7="No"),'Loan Schedule B'!C7*(1+Sal_Inc),sal_B))</f>
        <v>0</v>
      </c>
      <c r="D8" s="6">
        <f t="shared" si="1"/>
        <v>10000</v>
      </c>
      <c r="E8" s="3">
        <f t="shared" si="2"/>
        <v>52563.285156249993</v>
      </c>
      <c r="F8" s="3">
        <f>IF(B8="Yes",0,MAX(0,MIN(E8,(C8-Parameters!$B$15)*Parameters!$B$16)))</f>
        <v>0</v>
      </c>
      <c r="G8" s="7">
        <f>IF(E8=F8,0,E8*(1+infl)-'Loan Schedule B'!F8*(1+infl)^0.5)</f>
        <v>53877.367285156237</v>
      </c>
      <c r="H8" s="52" t="str">
        <f t="shared" si="3"/>
        <v>Increase</v>
      </c>
    </row>
    <row r="9" spans="1:8" x14ac:dyDescent="0.2">
      <c r="A9" s="23">
        <v>6</v>
      </c>
      <c r="B9" t="str">
        <f t="shared" si="0"/>
        <v>No</v>
      </c>
      <c r="C9" s="6">
        <f>IF(AND(B9="No",B8="Yes"),start_sal_B,IF(AND('Loan Schedule B'!B9="No",'Loan Schedule B'!B8="No"),'Loan Schedule B'!C8*(1+Sal_Inc),sal_B))</f>
        <v>25000</v>
      </c>
      <c r="D9" s="6">
        <f t="shared" si="1"/>
        <v>0</v>
      </c>
      <c r="E9" s="3">
        <f t="shared" si="2"/>
        <v>53877.367285156237</v>
      </c>
      <c r="F9" s="3">
        <f>IF(B9="Yes",0,MAX(0,MIN(E9,(C9-Parameters!$B$15)*Parameters!$B$16)))</f>
        <v>1000</v>
      </c>
      <c r="G9" s="7">
        <f>IF(E9=F9,0,E9*(1+infl)-'Loan Schedule B'!F9*(1+infl)^0.5)</f>
        <v>54211.878630719308</v>
      </c>
      <c r="H9" s="52" t="str">
        <f t="shared" si="3"/>
        <v>Increase</v>
      </c>
    </row>
    <row r="10" spans="1:8" x14ac:dyDescent="0.2">
      <c r="A10" s="23">
        <v>7</v>
      </c>
      <c r="B10" t="str">
        <f t="shared" si="0"/>
        <v>No</v>
      </c>
      <c r="C10" s="6">
        <f>IF(AND(B10="No",B9="Yes"),start_sal_B,IF(AND('Loan Schedule B'!B10="No",'Loan Schedule B'!B9="No"),'Loan Schedule B'!C9*(1+Sal_Inc),sal_B))</f>
        <v>26250</v>
      </c>
      <c r="D10" s="6">
        <f t="shared" si="1"/>
        <v>0</v>
      </c>
      <c r="E10" s="3">
        <f t="shared" si="2"/>
        <v>54211.878630719308</v>
      </c>
      <c r="F10" s="3">
        <f>IF(B10="Yes",0,MAX(0,MIN(E10,(C10-Parameters!$B$15)*Parameters!$B$16)))</f>
        <v>1125</v>
      </c>
      <c r="G10" s="7">
        <f>IF(E10=F10,0,E10*(1+infl)-'Loan Schedule B'!F10*(1+infl)^0.5)</f>
        <v>54428.199905350732</v>
      </c>
      <c r="H10" s="52" t="str">
        <f t="shared" si="3"/>
        <v>Increase</v>
      </c>
    </row>
    <row r="11" spans="1:8" x14ac:dyDescent="0.2">
      <c r="A11" s="23">
        <v>8</v>
      </c>
      <c r="B11" t="str">
        <f t="shared" si="0"/>
        <v>No</v>
      </c>
      <c r="C11" s="6">
        <f>IF(AND(B11="No",B10="Yes"),start_sal_B,IF(AND('Loan Schedule B'!B11="No",'Loan Schedule B'!B10="No"),'Loan Schedule B'!C10*(1+Sal_Inc),sal_B))</f>
        <v>27562.5</v>
      </c>
      <c r="D11" s="6">
        <f t="shared" si="1"/>
        <v>0</v>
      </c>
      <c r="E11" s="3">
        <f t="shared" si="2"/>
        <v>54428.199905350732</v>
      </c>
      <c r="F11" s="3">
        <f>IF(B11="Yes",0,MAX(0,MIN(E11,(C11-Parameters!$B$15)*Parameters!$B$16)))</f>
        <v>1256.25</v>
      </c>
      <c r="G11" s="7">
        <f>IF(E11=F11,0,E11*(1+infl)-'Loan Schedule B'!F11*(1+infl)^0.5)</f>
        <v>54517.048714548677</v>
      </c>
      <c r="H11" s="52" t="str">
        <f t="shared" si="3"/>
        <v>Increase</v>
      </c>
    </row>
    <row r="12" spans="1:8" x14ac:dyDescent="0.2">
      <c r="A12" s="23">
        <v>9</v>
      </c>
      <c r="B12" t="str">
        <f t="shared" si="0"/>
        <v>No</v>
      </c>
      <c r="C12" s="6">
        <f>IF(AND(B12="No",B11="Yes"),start_sal_B,IF(AND('Loan Schedule B'!B12="No",'Loan Schedule B'!B11="No"),'Loan Schedule B'!C11*(1+Sal_Inc),sal_B))</f>
        <v>28940.625</v>
      </c>
      <c r="D12" s="6">
        <f t="shared" si="1"/>
        <v>0</v>
      </c>
      <c r="E12" s="3">
        <f t="shared" si="2"/>
        <v>54517.048714548677</v>
      </c>
      <c r="F12" s="3">
        <f>IF(B12="Yes",0,MAX(0,MIN(E12,(C12-Parameters!$B$15)*Parameters!$B$16)))</f>
        <v>1394.0625</v>
      </c>
      <c r="G12" s="7">
        <f>IF(E12=F12,0,E12*(1+infl)-'Loan Schedule B'!F12*(1+infl)^0.5)</f>
        <v>54468.594221812338</v>
      </c>
      <c r="H12" s="52" t="str">
        <f t="shared" si="3"/>
        <v>Decrease</v>
      </c>
    </row>
    <row r="13" spans="1:8" x14ac:dyDescent="0.2">
      <c r="A13" s="23">
        <v>10</v>
      </c>
      <c r="B13" t="str">
        <f t="shared" si="0"/>
        <v>No</v>
      </c>
      <c r="C13" s="6">
        <f>IF(AND(B13="No",B12="Yes"),start_sal_B,IF(AND('Loan Schedule B'!B13="No",'Loan Schedule B'!B12="No"),'Loan Schedule B'!C12*(1+Sal_Inc),sal_B))</f>
        <v>30387.65625</v>
      </c>
      <c r="D13" s="6">
        <f t="shared" si="1"/>
        <v>0</v>
      </c>
      <c r="E13" s="3">
        <f t="shared" si="2"/>
        <v>54468.594221812338</v>
      </c>
      <c r="F13" s="3">
        <f>IF(B13="Yes",0,MAX(0,MIN(E13,(C13-Parameters!$B$15)*Parameters!$B$16)))</f>
        <v>1538.765625</v>
      </c>
      <c r="G13" s="7">
        <f>IF(E13=F13,0,E13*(1+infl)-'Loan Schedule B'!F13*(1+infl)^0.5)</f>
        <v>54272.427618485148</v>
      </c>
      <c r="H13" s="52" t="str">
        <f t="shared" si="3"/>
        <v>Decrease</v>
      </c>
    </row>
    <row r="14" spans="1:8" x14ac:dyDescent="0.2">
      <c r="A14" s="23">
        <v>11</v>
      </c>
      <c r="B14" t="str">
        <f t="shared" si="0"/>
        <v>No</v>
      </c>
      <c r="C14" s="6">
        <f>IF(AND(B14="No",B13="Yes"),start_sal_B,IF(AND('Loan Schedule B'!B14="No",'Loan Schedule B'!B13="No"),'Loan Schedule B'!C13*(1+Sal_Inc),sal_B))</f>
        <v>31907.0390625</v>
      </c>
      <c r="D14" s="6">
        <f t="shared" si="1"/>
        <v>0</v>
      </c>
      <c r="E14" s="3">
        <f t="shared" si="2"/>
        <v>54272.427618485148</v>
      </c>
      <c r="F14" s="3">
        <f>IF(B14="Yes",0,MAX(0,MIN(E14,(C14-Parameters!$B$15)*Parameters!$B$16)))</f>
        <v>1690.70390625</v>
      </c>
      <c r="G14" s="7">
        <f>IF(E14=F14,0,E14*(1+infl)-'Loan Schedule B'!F14*(1+infl)^0.5)</f>
        <v>53917.531064388721</v>
      </c>
      <c r="H14" s="52" t="str">
        <f t="shared" si="3"/>
        <v>Decrease</v>
      </c>
    </row>
    <row r="15" spans="1:8" x14ac:dyDescent="0.2">
      <c r="A15" s="23">
        <v>12</v>
      </c>
      <c r="B15" t="str">
        <f t="shared" si="0"/>
        <v>No</v>
      </c>
      <c r="C15" s="6">
        <f>IF(AND(B15="No",B14="Yes"),start_sal_B,IF(AND('Loan Schedule B'!B15="No",'Loan Schedule B'!B14="No"),'Loan Schedule B'!C14*(1+Sal_Inc),sal_B))</f>
        <v>33502.391015624999</v>
      </c>
      <c r="D15" s="6">
        <f t="shared" si="1"/>
        <v>0</v>
      </c>
      <c r="E15" s="3">
        <f t="shared" si="2"/>
        <v>53917.531064388721</v>
      </c>
      <c r="F15" s="3">
        <f>IF(B15="Yes",0,MAX(0,MIN(E15,(C15-Parameters!$B$15)*Parameters!$B$16)))</f>
        <v>1850.2391015624999</v>
      </c>
      <c r="G15" s="7">
        <f>IF(E15=F15,0,E15*(1+infl)-'Loan Schedule B'!F15*(1+infl)^0.5)</f>
        <v>53392.245021469513</v>
      </c>
      <c r="H15" s="52" t="str">
        <f t="shared" si="3"/>
        <v>Decrease</v>
      </c>
    </row>
    <row r="16" spans="1:8" x14ac:dyDescent="0.2">
      <c r="A16" s="23">
        <v>13</v>
      </c>
      <c r="B16" t="str">
        <f t="shared" si="0"/>
        <v>No</v>
      </c>
      <c r="C16" s="6">
        <f>IF(AND(B16="No",B15="Yes"),start_sal_B,IF(AND('Loan Schedule B'!B16="No",'Loan Schedule B'!B15="No"),'Loan Schedule B'!C15*(1+Sal_Inc),sal_B))</f>
        <v>35177.51056640625</v>
      </c>
      <c r="D16" s="6">
        <f t="shared" si="1"/>
        <v>0</v>
      </c>
      <c r="E16" s="3">
        <f t="shared" si="2"/>
        <v>53392.245021469513</v>
      </c>
      <c r="F16" s="3">
        <f>IF(B16="Yes",0,MAX(0,MIN(E16,(C16-Parameters!$B$15)*Parameters!$B$16)))</f>
        <v>2017.7510566406252</v>
      </c>
      <c r="G16" s="7">
        <f>IF(E16=F16,0,E16*(1+infl)-'Loan Schedule B'!F16*(1+infl)^0.5)</f>
        <v>52684.233898758444</v>
      </c>
      <c r="H16" s="52" t="str">
        <f t="shared" si="3"/>
        <v>Decrease</v>
      </c>
    </row>
    <row r="17" spans="1:8" x14ac:dyDescent="0.2">
      <c r="A17" s="23">
        <v>14</v>
      </c>
      <c r="B17" t="str">
        <f t="shared" si="0"/>
        <v>No</v>
      </c>
      <c r="C17" s="6">
        <f>IF(AND(B17="No",B16="Yes"),start_sal_B,IF(AND('Loan Schedule B'!B17="No",'Loan Schedule B'!B16="No"),'Loan Schedule B'!C16*(1+Sal_Inc),sal_B))</f>
        <v>36936.386094726564</v>
      </c>
      <c r="D17" s="6">
        <f t="shared" si="1"/>
        <v>0</v>
      </c>
      <c r="E17" s="3">
        <f t="shared" si="2"/>
        <v>52684.233898758444</v>
      </c>
      <c r="F17" s="3">
        <f>IF(B17="Yes",0,MAX(0,MIN(E17,(C17-Parameters!$B$15)*Parameters!$B$16)))</f>
        <v>2193.6386094726563</v>
      </c>
      <c r="G17" s="7">
        <f>IF(E17=F17,0,E17*(1+infl)-'Loan Schedule B'!F17*(1+infl)^0.5)</f>
        <v>51780.449922824773</v>
      </c>
      <c r="H17" s="52" t="str">
        <f t="shared" si="3"/>
        <v>Decrease</v>
      </c>
    </row>
    <row r="18" spans="1:8" x14ac:dyDescent="0.2">
      <c r="A18" s="23">
        <v>15</v>
      </c>
      <c r="B18" t="str">
        <f t="shared" si="0"/>
        <v>No</v>
      </c>
      <c r="C18" s="6">
        <f>IF(AND(B18="No",B17="Yes"),start_sal_B,IF(AND('Loan Schedule B'!B18="No",'Loan Schedule B'!B17="No"),'Loan Schedule B'!C17*(1+Sal_Inc),sal_B))</f>
        <v>38783.205399462895</v>
      </c>
      <c r="D18" s="6">
        <f t="shared" si="1"/>
        <v>0</v>
      </c>
      <c r="E18" s="3">
        <f t="shared" si="2"/>
        <v>51780.449922824773</v>
      </c>
      <c r="F18" s="3">
        <f>IF(B18="Yes",0,MAX(0,MIN(E18,(C18-Parameters!$B$15)*Parameters!$B$16)))</f>
        <v>2378.3205399462895</v>
      </c>
      <c r="G18" s="7">
        <f>IF(E18=F18,0,E18*(1+infl)-'Loan Schedule B'!F18*(1+infl)^0.5)</f>
        <v>50667.095143580191</v>
      </c>
      <c r="H18" s="52" t="str">
        <f t="shared" si="3"/>
        <v>Decrease</v>
      </c>
    </row>
    <row r="19" spans="1:8" x14ac:dyDescent="0.2">
      <c r="A19" s="23">
        <v>16</v>
      </c>
      <c r="B19" t="str">
        <f t="shared" si="0"/>
        <v>No</v>
      </c>
      <c r="C19" s="6">
        <f>IF(AND(B19="No",B18="Yes"),start_sal_B,IF(AND('Loan Schedule B'!B19="No",'Loan Schedule B'!B18="No"),'Loan Schedule B'!C18*(1+Sal_Inc),sal_B))</f>
        <v>40722.36566943604</v>
      </c>
      <c r="D19" s="6">
        <f t="shared" si="1"/>
        <v>0</v>
      </c>
      <c r="E19" s="3">
        <f t="shared" si="2"/>
        <v>50667.095143580191</v>
      </c>
      <c r="F19" s="3">
        <f>IF(B19="Yes",0,MAX(0,MIN(E19,(C19-Parameters!$B$15)*Parameters!$B$16)))</f>
        <v>2572.236566943604</v>
      </c>
      <c r="G19" s="7">
        <f>IF(E19=F19,0,E19*(1+infl)-'Loan Schedule B'!F19*(1+infl)^0.5)</f>
        <v>49329.581480746296</v>
      </c>
      <c r="H19" s="52" t="str">
        <f t="shared" si="3"/>
        <v>Decrease</v>
      </c>
    </row>
    <row r="20" spans="1:8" x14ac:dyDescent="0.2">
      <c r="A20" s="23">
        <v>17</v>
      </c>
      <c r="B20" t="str">
        <f t="shared" si="0"/>
        <v>No</v>
      </c>
      <c r="C20" s="6">
        <f>IF(AND(B20="No",B19="Yes"),start_sal_B,IF(AND('Loan Schedule B'!B20="No",'Loan Schedule B'!B19="No"),'Loan Schedule B'!C19*(1+Sal_Inc),sal_B))</f>
        <v>42758.483952907845</v>
      </c>
      <c r="D20" s="6">
        <f t="shared" si="1"/>
        <v>0</v>
      </c>
      <c r="E20" s="3">
        <f t="shared" si="2"/>
        <v>49329.581480746296</v>
      </c>
      <c r="F20" s="3">
        <f>IF(B20="Yes",0,MAX(0,MIN(E20,(C20-Parameters!$B$15)*Parameters!$B$16)))</f>
        <v>2775.8483952907845</v>
      </c>
      <c r="G20" s="7">
        <f>IF(E20=F20,0,E20*(1+infl)-'Loan Schedule B'!F20*(1+infl)^0.5)</f>
        <v>47752.488711527942</v>
      </c>
      <c r="H20" s="52" t="str">
        <f t="shared" si="3"/>
        <v>Decrease</v>
      </c>
    </row>
    <row r="21" spans="1:8" x14ac:dyDescent="0.2">
      <c r="A21" s="23">
        <v>18</v>
      </c>
      <c r="B21" t="str">
        <f t="shared" si="0"/>
        <v>No</v>
      </c>
      <c r="C21" s="6">
        <f>IF(AND(B21="No",B20="Yes"),start_sal_B,IF(AND('Loan Schedule B'!B21="No",'Loan Schedule B'!B20="No"),'Loan Schedule B'!C20*(1+Sal_Inc),sal_B))</f>
        <v>44896.408150553238</v>
      </c>
      <c r="D21" s="6">
        <f t="shared" si="1"/>
        <v>0</v>
      </c>
      <c r="E21" s="3">
        <f t="shared" si="2"/>
        <v>47752.488711527942</v>
      </c>
      <c r="F21" s="3">
        <f>IF(B21="Yes",0,MAX(0,MIN(E21,(C21-Parameters!$B$15)*Parameters!$B$16)))</f>
        <v>2989.6408150553239</v>
      </c>
      <c r="G21" s="7">
        <f>IF(E21=F21,0,E21*(1+infl)-'Loan Schedule B'!F21*(1+infl)^0.5)</f>
        <v>45919.520295024849</v>
      </c>
      <c r="H21" s="52" t="str">
        <f t="shared" si="3"/>
        <v>Decrease</v>
      </c>
    </row>
    <row r="22" spans="1:8" x14ac:dyDescent="0.2">
      <c r="A22" s="23">
        <v>19</v>
      </c>
      <c r="B22" t="str">
        <f t="shared" si="0"/>
        <v>No</v>
      </c>
      <c r="C22" s="6">
        <f>IF(AND(B22="No",B21="Yes"),start_sal_B,IF(AND('Loan Schedule B'!B22="No",'Loan Schedule B'!B21="No"),'Loan Schedule B'!C21*(1+Sal_Inc),sal_B))</f>
        <v>47141.228558080904</v>
      </c>
      <c r="D22" s="6">
        <f t="shared" si="1"/>
        <v>0</v>
      </c>
      <c r="E22" s="3">
        <f t="shared" si="2"/>
        <v>45919.520295024849</v>
      </c>
      <c r="F22" s="3">
        <f>IF(B22="Yes",0,MAX(0,MIN(E22,(C22-Parameters!$B$15)*Parameters!$B$16)))</f>
        <v>3214.1228558080907</v>
      </c>
      <c r="G22" s="7">
        <f>IF(E22=F22,0,E22*(1+infl)-'Loan Schedule B'!F22*(1+infl)^0.5)</f>
        <v>43813.456923652171</v>
      </c>
      <c r="H22" s="52" t="str">
        <f t="shared" si="3"/>
        <v>Decrease</v>
      </c>
    </row>
    <row r="23" spans="1:8" x14ac:dyDescent="0.2">
      <c r="A23" s="23">
        <v>20</v>
      </c>
      <c r="B23" t="str">
        <f t="shared" si="0"/>
        <v>No</v>
      </c>
      <c r="C23" s="6">
        <f>IF(AND(B23="No",B22="Yes"),start_sal_B,IF(AND('Loan Schedule B'!B23="No",'Loan Schedule B'!B22="No"),'Loan Schedule B'!C22*(1+Sal_Inc),sal_B))</f>
        <v>49498.289985984949</v>
      </c>
      <c r="D23" s="6">
        <f t="shared" si="1"/>
        <v>0</v>
      </c>
      <c r="E23" s="3">
        <f t="shared" si="2"/>
        <v>43813.456923652171</v>
      </c>
      <c r="F23" s="3">
        <f>IF(B23="Yes",0,MAX(0,MIN(E23,(C23-Parameters!$B$15)*Parameters!$B$16)))</f>
        <v>3449.8289985984952</v>
      </c>
      <c r="G23" s="7">
        <f>IF(E23=F23,0,E23*(1+infl)-'Loan Schedule B'!F23*(1+infl)^0.5)</f>
        <v>41416.107686315328</v>
      </c>
      <c r="H23" s="52" t="str">
        <f t="shared" si="3"/>
        <v>Decrease</v>
      </c>
    </row>
    <row r="24" spans="1:8" x14ac:dyDescent="0.2">
      <c r="A24" s="23">
        <v>21</v>
      </c>
      <c r="B24" t="str">
        <f t="shared" si="0"/>
        <v>No</v>
      </c>
      <c r="C24" s="6">
        <f>IF(AND(B24="No",B23="Yes"),start_sal_B,IF(AND('Loan Schedule B'!B24="No",'Loan Schedule B'!B23="No"),'Loan Schedule B'!C23*(1+Sal_Inc),sal_B))</f>
        <v>51973.204485284201</v>
      </c>
      <c r="D24" s="6">
        <f t="shared" si="1"/>
        <v>0</v>
      </c>
      <c r="E24" s="3">
        <f t="shared" si="2"/>
        <v>41416.107686315328</v>
      </c>
      <c r="F24" s="3">
        <f>IF(B24="Yes",0,MAX(0,MIN(E24,(C24-Parameters!$B$15)*Parameters!$B$16)))</f>
        <v>3697.3204485284205</v>
      </c>
      <c r="G24" s="7">
        <f>IF(E24=F24,0,E24*(1+infl)-'Loan Schedule B'!F24*(1+infl)^0.5)</f>
        <v>38708.258722281214</v>
      </c>
      <c r="H24" s="52" t="str">
        <f t="shared" si="3"/>
        <v>Decrease</v>
      </c>
    </row>
    <row r="25" spans="1:8" x14ac:dyDescent="0.2">
      <c r="A25" s="23">
        <v>22</v>
      </c>
      <c r="B25" t="str">
        <f t="shared" si="0"/>
        <v>No</v>
      </c>
      <c r="C25" s="6">
        <f>IF(AND(B25="No",B24="Yes"),start_sal_B,IF(AND('Loan Schedule B'!B25="No",'Loan Schedule B'!B24="No"),'Loan Schedule B'!C24*(1+Sal_Inc),sal_B))</f>
        <v>54571.864709548412</v>
      </c>
      <c r="D25" s="6">
        <f t="shared" si="1"/>
        <v>0</v>
      </c>
      <c r="E25" s="3">
        <f t="shared" si="2"/>
        <v>38708.258722281214</v>
      </c>
      <c r="F25" s="3">
        <f>IF(B25="Yes",0,MAX(0,MIN(E25,(C25-Parameters!$B$15)*Parameters!$B$16)))</f>
        <v>3957.1864709548413</v>
      </c>
      <c r="G25" s="7">
        <f>IF(E25=F25,0,E25*(1+infl)-'Loan Schedule B'!F25*(1+infl)^0.5)</f>
        <v>35669.619238594219</v>
      </c>
      <c r="H25" s="52" t="str">
        <f t="shared" si="3"/>
        <v>Decrease</v>
      </c>
    </row>
    <row r="26" spans="1:8" x14ac:dyDescent="0.2">
      <c r="A26" s="23">
        <v>23</v>
      </c>
      <c r="B26" t="str">
        <f t="shared" si="0"/>
        <v>No</v>
      </c>
      <c r="C26" s="6">
        <f>IF(AND(B26="No",B25="Yes"),start_sal_B,IF(AND('Loan Schedule B'!B26="No",'Loan Schedule B'!B25="No"),'Loan Schedule B'!C25*(1+Sal_Inc),sal_B))</f>
        <v>57300.457945025832</v>
      </c>
      <c r="D26" s="6">
        <f t="shared" si="1"/>
        <v>0</v>
      </c>
      <c r="E26" s="3">
        <f t="shared" si="2"/>
        <v>35669.619238594219</v>
      </c>
      <c r="F26" s="3">
        <f>IF(B26="Yes",0,MAX(0,MIN(E26,(C26-Parameters!$B$15)*Parameters!$B$16)))</f>
        <v>4230.0457945025837</v>
      </c>
      <c r="G26" s="7">
        <f>IF(E26=F26,0,E26*(1+infl)-'Loan Schedule B'!F26*(1+infl)^0.5)</f>
        <v>32278.764757485405</v>
      </c>
      <c r="H26" s="52" t="str">
        <f t="shared" si="3"/>
        <v>Decrease</v>
      </c>
    </row>
    <row r="27" spans="1:8" x14ac:dyDescent="0.2">
      <c r="A27" s="23">
        <v>24</v>
      </c>
      <c r="B27" t="str">
        <f t="shared" si="0"/>
        <v>No</v>
      </c>
      <c r="C27" s="6">
        <f>IF(AND(B27="No",B26="Yes"),start_sal_B,IF(AND('Loan Schedule B'!B27="No",'Loan Schedule B'!B26="No"),'Loan Schedule B'!C26*(1+Sal_Inc),sal_B))</f>
        <v>60165.480842277124</v>
      </c>
      <c r="D27" s="6">
        <f t="shared" si="1"/>
        <v>0</v>
      </c>
      <c r="E27" s="3">
        <f t="shared" si="2"/>
        <v>32278.764757485405</v>
      </c>
      <c r="F27" s="3">
        <f>IF(B27="Yes",0,MAX(0,MIN(E27,(C27-Parameters!$B$15)*Parameters!$B$16)))</f>
        <v>4516.5480842277129</v>
      </c>
      <c r="G27" s="7">
        <f>IF(E27=F27,0,E27*(1+infl)-'Loan Schedule B'!F27*(1+infl)^0.5)</f>
        <v>28513.077453502752</v>
      </c>
      <c r="H27" s="52" t="str">
        <f t="shared" si="3"/>
        <v>Decrease</v>
      </c>
    </row>
    <row r="28" spans="1:8" x14ac:dyDescent="0.2">
      <c r="A28" s="23">
        <v>25</v>
      </c>
      <c r="B28" t="str">
        <f t="shared" si="0"/>
        <v>No</v>
      </c>
      <c r="C28" s="6">
        <f>IF(AND(B28="No",B27="Yes"),start_sal_B,IF(AND('Loan Schedule B'!B28="No",'Loan Schedule B'!B27="No"),'Loan Schedule B'!C27*(1+Sal_Inc),sal_B))</f>
        <v>63173.754884390983</v>
      </c>
      <c r="D28" s="6">
        <f t="shared" si="1"/>
        <v>0</v>
      </c>
      <c r="E28" s="3">
        <f t="shared" si="2"/>
        <v>28513.077453502752</v>
      </c>
      <c r="F28" s="3">
        <f>IF(B28="Yes",0,MAX(0,MIN(E28,(C28-Parameters!$B$15)*Parameters!$B$16)))</f>
        <v>4817.3754884390983</v>
      </c>
      <c r="G28" s="7">
        <f>IF(E28=F28,0,E28*(1+infl)-'Loan Schedule B'!F28*(1+infl)^0.5)</f>
        <v>24348.683433032107</v>
      </c>
      <c r="H28" s="52" t="str">
        <f t="shared" si="3"/>
        <v>Decrease</v>
      </c>
    </row>
    <row r="29" spans="1:8" x14ac:dyDescent="0.2">
      <c r="A29" s="23">
        <v>26</v>
      </c>
      <c r="B29" t="str">
        <f t="shared" si="0"/>
        <v>No</v>
      </c>
      <c r="C29" s="6">
        <f>IF(AND(B29="No",B28="Yes"),start_sal_B,IF(AND('Loan Schedule B'!B29="No",'Loan Schedule B'!B28="No"),'Loan Schedule B'!C28*(1+Sal_Inc),sal_B))</f>
        <v>66332.44262861053</v>
      </c>
      <c r="D29" s="6">
        <f t="shared" si="1"/>
        <v>0</v>
      </c>
      <c r="E29" s="3">
        <f t="shared" si="2"/>
        <v>24348.683433032107</v>
      </c>
      <c r="F29" s="3">
        <f>IF(B29="Yes",0,MAX(0,MIN(E29,(C29-Parameters!$B$15)*Parameters!$B$16)))</f>
        <v>5133.2442628610534</v>
      </c>
      <c r="G29" s="7">
        <f>IF(E29=F29,0,E29*(1+infl)-'Loan Schedule B'!F29*(1+infl)^0.5)</f>
        <v>19760.386801466848</v>
      </c>
      <c r="H29" s="52" t="str">
        <f t="shared" si="3"/>
        <v>Decrease</v>
      </c>
    </row>
    <row r="30" spans="1:8" x14ac:dyDescent="0.2">
      <c r="A30" s="23">
        <v>27</v>
      </c>
      <c r="B30" t="str">
        <f t="shared" si="0"/>
        <v>No</v>
      </c>
      <c r="C30" s="6">
        <f>IF(AND(B30="No",B29="Yes"),start_sal_B,IF(AND('Loan Schedule B'!B30="No",'Loan Schedule B'!B29="No"),'Loan Schedule B'!C29*(1+Sal_Inc),sal_B))</f>
        <v>69649.064760041059</v>
      </c>
      <c r="D30" s="6">
        <f t="shared" si="1"/>
        <v>0</v>
      </c>
      <c r="E30" s="3">
        <f t="shared" si="2"/>
        <v>19760.386801466848</v>
      </c>
      <c r="F30" s="3">
        <f>IF(B30="Yes",0,MAX(0,MIN(E30,(C30-Parameters!$B$15)*Parameters!$B$16)))</f>
        <v>5464.9064760041065</v>
      </c>
      <c r="G30" s="7">
        <f>IF(E30=F30,0,E30*(1+infl)-'Loan Schedule B'!F30*(1+infl)^0.5)</f>
        <v>14721.600355500472</v>
      </c>
      <c r="H30" s="52" t="str">
        <f t="shared" si="3"/>
        <v>Decrease</v>
      </c>
    </row>
    <row r="31" spans="1:8" x14ac:dyDescent="0.2">
      <c r="A31" s="23">
        <v>28</v>
      </c>
      <c r="B31" t="str">
        <f t="shared" si="0"/>
        <v>No</v>
      </c>
      <c r="C31" s="6">
        <f>IF(AND(B31="No",B30="Yes"),start_sal_B,IF(AND('Loan Schedule B'!B31="No",'Loan Schedule B'!B30="No"),'Loan Schedule B'!C30*(1+Sal_Inc),sal_B))</f>
        <v>73131.517998043113</v>
      </c>
      <c r="D31" s="6">
        <f t="shared" si="1"/>
        <v>0</v>
      </c>
      <c r="E31" s="3">
        <f t="shared" si="2"/>
        <v>14721.600355500472</v>
      </c>
      <c r="F31" s="3">
        <f>IF(B31="Yes",0,MAX(0,MIN(E31,(C31-Parameters!$B$15)*Parameters!$B$16)))</f>
        <v>5813.1517998043118</v>
      </c>
      <c r="G31" s="7">
        <f>IF(E31=F31,0,E31*(1+infl)-'Loan Schedule B'!F31*(1+infl)^0.5)</f>
        <v>9204.2727298423451</v>
      </c>
      <c r="H31" s="52" t="str">
        <f t="shared" si="3"/>
        <v>Decrease</v>
      </c>
    </row>
    <row r="32" spans="1:8" x14ac:dyDescent="0.2">
      <c r="A32" s="23">
        <v>29</v>
      </c>
      <c r="B32" t="str">
        <f t="shared" si="0"/>
        <v>No</v>
      </c>
      <c r="C32" s="6">
        <f>IF(AND(B32="No",B31="Yes"),start_sal_B,IF(AND('Loan Schedule B'!B32="No",'Loan Schedule B'!B31="No"),'Loan Schedule B'!C31*(1+Sal_Inc),sal_B))</f>
        <v>76788.093897945277</v>
      </c>
      <c r="D32" s="6">
        <f t="shared" si="1"/>
        <v>0</v>
      </c>
      <c r="E32" s="3">
        <f t="shared" si="2"/>
        <v>9204.2727298423451</v>
      </c>
      <c r="F32" s="3">
        <f>IF(B32="Yes",0,MAX(0,MIN(E32,(C32-Parameters!$B$15)*Parameters!$B$16)))</f>
        <v>6178.8093897945282</v>
      </c>
      <c r="G32" s="7">
        <f>IF(E32=F32,0,E32*(1+infl)-'Loan Schedule B'!F32*(1+infl)^0.5)</f>
        <v>3178.8118190730474</v>
      </c>
      <c r="H32" s="52" t="str">
        <f t="shared" si="3"/>
        <v>Decrease</v>
      </c>
    </row>
    <row r="33" spans="1:8" x14ac:dyDescent="0.2">
      <c r="A33" s="23">
        <v>30</v>
      </c>
      <c r="B33" t="str">
        <f t="shared" si="0"/>
        <v>No</v>
      </c>
      <c r="C33" s="6">
        <f>IF(AND(B33="No",B32="Yes"),start_sal_B,IF(AND('Loan Schedule B'!B33="No",'Loan Schedule B'!B32="No"),'Loan Schedule B'!C32*(1+Sal_Inc),sal_B))</f>
        <v>80627.498592842545</v>
      </c>
      <c r="D33" s="6">
        <f t="shared" si="1"/>
        <v>0</v>
      </c>
      <c r="E33" s="3">
        <f t="shared" si="2"/>
        <v>3178.8118190730474</v>
      </c>
      <c r="F33" s="3">
        <f>IF(B33="Yes",0,MAX(0,MIN(E33,(C33-Parameters!$B$15)*Parameters!$B$16)))</f>
        <v>3178.8118190730474</v>
      </c>
      <c r="G33" s="7">
        <f>IF(E33=F33,0,E33*(1+infl)-'Loan Schedule B'!F33*(1+infl)^0.5)</f>
        <v>0</v>
      </c>
      <c r="H33" s="52" t="str">
        <f t="shared" si="3"/>
        <v>Decrease</v>
      </c>
    </row>
    <row r="34" spans="1:8" x14ac:dyDescent="0.2">
      <c r="A34" s="23">
        <v>31</v>
      </c>
      <c r="B34" t="str">
        <f t="shared" si="0"/>
        <v>No</v>
      </c>
      <c r="C34" s="6">
        <f>IF(AND(B34="No",B33="Yes"),start_sal_B,IF(AND('Loan Schedule B'!B34="No",'Loan Schedule B'!B33="No"),'Loan Schedule B'!C33*(1+Sal_Inc),sal_B))</f>
        <v>84658.873522484675</v>
      </c>
      <c r="D34" s="6">
        <f t="shared" si="1"/>
        <v>0</v>
      </c>
      <c r="E34" s="3">
        <f t="shared" ref="E34:E43" si="4">D34+G33</f>
        <v>0</v>
      </c>
      <c r="F34" s="3">
        <f>IF(B34="Yes",0,MAX(0,MIN(E34,(C34-Parameters!$B$15)*Parameters!$B$16)))</f>
        <v>0</v>
      </c>
      <c r="G34" s="7">
        <f>IF(E34=F34,0,E34*(1+infl)-'Loan Schedule B'!F34*(1+infl)^0.5)</f>
        <v>0</v>
      </c>
      <c r="H34" s="52" t="str">
        <f t="shared" si="3"/>
        <v/>
      </c>
    </row>
    <row r="35" spans="1:8" x14ac:dyDescent="0.2">
      <c r="A35" s="23">
        <v>32</v>
      </c>
      <c r="B35" t="str">
        <f t="shared" si="0"/>
        <v>No</v>
      </c>
      <c r="C35" s="6">
        <f>IF(AND(B35="No",B34="Yes"),start_sal_B,IF(AND('Loan Schedule B'!B35="No",'Loan Schedule B'!B34="No"),'Loan Schedule B'!C34*(1+Sal_Inc),sal_B))</f>
        <v>88891.817198608915</v>
      </c>
      <c r="D35" s="6">
        <f t="shared" si="1"/>
        <v>0</v>
      </c>
      <c r="E35" s="3">
        <f t="shared" si="4"/>
        <v>0</v>
      </c>
      <c r="F35" s="3">
        <f>IF(B35="Yes",0,MAX(0,MIN(E35,(C35-Parameters!$B$15)*Parameters!$B$16)))</f>
        <v>0</v>
      </c>
      <c r="G35" s="7">
        <f>IF(E35=F35,0,E35*(1+infl)-'Loan Schedule B'!F35*(1+infl)^0.5)</f>
        <v>0</v>
      </c>
      <c r="H35" s="52" t="str">
        <f t="shared" si="3"/>
        <v/>
      </c>
    </row>
    <row r="36" spans="1:8" x14ac:dyDescent="0.2">
      <c r="A36" s="23">
        <v>33</v>
      </c>
      <c r="B36" t="str">
        <f t="shared" si="0"/>
        <v>No</v>
      </c>
      <c r="C36" s="6">
        <f>IF(AND(B36="No",B35="Yes"),start_sal_B,IF(AND('Loan Schedule B'!B36="No",'Loan Schedule B'!B35="No"),'Loan Schedule B'!C35*(1+Sal_Inc),sal_B))</f>
        <v>93336.408058539368</v>
      </c>
      <c r="D36" s="6">
        <f t="shared" si="1"/>
        <v>0</v>
      </c>
      <c r="E36" s="3">
        <f t="shared" si="4"/>
        <v>0</v>
      </c>
      <c r="F36" s="3">
        <f>IF(B36="Yes",0,MAX(0,MIN(E36,(C36-Parameters!$B$15)*Parameters!$B$16)))</f>
        <v>0</v>
      </c>
      <c r="G36" s="7">
        <f>IF(E36=F36,0,E36*(1+infl)-'Loan Schedule B'!F36*(1+infl)^0.5)</f>
        <v>0</v>
      </c>
      <c r="H36" s="52" t="str">
        <f t="shared" si="3"/>
        <v/>
      </c>
    </row>
    <row r="37" spans="1:8" x14ac:dyDescent="0.2">
      <c r="A37" s="23">
        <v>34</v>
      </c>
      <c r="B37" t="str">
        <f t="shared" si="0"/>
        <v>No</v>
      </c>
      <c r="C37" s="6">
        <f>IF(AND(B37="No",B36="Yes"),start_sal_B,IF(AND('Loan Schedule B'!B37="No",'Loan Schedule B'!B36="No"),'Loan Schedule B'!C36*(1+Sal_Inc),sal_B))</f>
        <v>98003.228461466337</v>
      </c>
      <c r="D37" s="6">
        <f t="shared" si="1"/>
        <v>0</v>
      </c>
      <c r="E37" s="3">
        <f t="shared" si="4"/>
        <v>0</v>
      </c>
      <c r="F37" s="3">
        <f>IF(B37="Yes",0,MAX(0,MIN(E37,(C37-Parameters!$B$15)*Parameters!$B$16)))</f>
        <v>0</v>
      </c>
      <c r="G37" s="7">
        <f>IF(E37=F37,0,E37*(1+infl)-'Loan Schedule B'!F37*(1+infl)^0.5)</f>
        <v>0</v>
      </c>
      <c r="H37" s="52" t="str">
        <f t="shared" si="3"/>
        <v/>
      </c>
    </row>
    <row r="38" spans="1:8" x14ac:dyDescent="0.2">
      <c r="A38" s="23">
        <v>35</v>
      </c>
      <c r="B38" t="str">
        <f t="shared" si="0"/>
        <v>No</v>
      </c>
      <c r="C38" s="6">
        <f>IF(AND(B38="No",B37="Yes"),start_sal_B,IF(AND('Loan Schedule B'!B38="No",'Loan Schedule B'!B37="No"),'Loan Schedule B'!C37*(1+Sal_Inc),sal_B))</f>
        <v>102903.38988453966</v>
      </c>
      <c r="D38" s="6">
        <f t="shared" si="1"/>
        <v>0</v>
      </c>
      <c r="E38" s="3">
        <f t="shared" si="4"/>
        <v>0</v>
      </c>
      <c r="F38" s="3">
        <f>IF(B38="Yes",0,MAX(0,MIN(E38,(C38-Parameters!$B$15)*Parameters!$B$16)))</f>
        <v>0</v>
      </c>
      <c r="G38" s="7">
        <f>IF(E38=F38,0,E38*(1+infl)-'Loan Schedule B'!F38*(1+infl)^0.5)</f>
        <v>0</v>
      </c>
      <c r="H38" s="52" t="str">
        <f t="shared" si="3"/>
        <v/>
      </c>
    </row>
    <row r="39" spans="1:8" x14ac:dyDescent="0.2">
      <c r="A39" s="23">
        <v>36</v>
      </c>
      <c r="B39" t="str">
        <f t="shared" si="0"/>
        <v>No</v>
      </c>
      <c r="C39" s="6">
        <f>IF(AND(B39="No",B38="Yes"),start_sal_B,IF(AND('Loan Schedule B'!B39="No",'Loan Schedule B'!B38="No"),'Loan Schedule B'!C38*(1+Sal_Inc),sal_B))</f>
        <v>108048.55937876664</v>
      </c>
      <c r="D39" s="6">
        <f t="shared" si="1"/>
        <v>0</v>
      </c>
      <c r="E39" s="3">
        <f t="shared" si="4"/>
        <v>0</v>
      </c>
      <c r="F39" s="3">
        <f>IF(B39="Yes",0,MAX(0,MIN(E39,(C39-Parameters!$B$15)*Parameters!$B$16)))</f>
        <v>0</v>
      </c>
      <c r="G39" s="7">
        <f>IF(E39=F39,0,E39*(1+infl)-'Loan Schedule B'!F39*(1+infl)^0.5)</f>
        <v>0</v>
      </c>
      <c r="H39" s="52" t="str">
        <f t="shared" si="3"/>
        <v/>
      </c>
    </row>
    <row r="40" spans="1:8" x14ac:dyDescent="0.2">
      <c r="A40" s="23">
        <v>37</v>
      </c>
      <c r="B40" t="str">
        <f t="shared" si="0"/>
        <v>No</v>
      </c>
      <c r="C40" s="6">
        <f>IF(AND(B40="No",B39="Yes"),start_sal_B,IF(AND('Loan Schedule B'!B40="No",'Loan Schedule B'!B39="No"),'Loan Schedule B'!C39*(1+Sal_Inc),sal_B))</f>
        <v>113450.98734770498</v>
      </c>
      <c r="D40" s="6">
        <f t="shared" si="1"/>
        <v>0</v>
      </c>
      <c r="E40" s="3">
        <f t="shared" si="4"/>
        <v>0</v>
      </c>
      <c r="F40" s="3">
        <f>IF(B40="Yes",0,MAX(0,MIN(E40,(C40-Parameters!$B$15)*Parameters!$B$16)))</f>
        <v>0</v>
      </c>
      <c r="G40" s="7">
        <f>IF(E40=F40,0,E40*(1+infl)-'Loan Schedule B'!F40*(1+infl)^0.5)</f>
        <v>0</v>
      </c>
      <c r="H40" s="52" t="str">
        <f t="shared" si="3"/>
        <v/>
      </c>
    </row>
    <row r="41" spans="1:8" x14ac:dyDescent="0.2">
      <c r="A41" s="23">
        <v>38</v>
      </c>
      <c r="B41" t="str">
        <f t="shared" si="0"/>
        <v>No</v>
      </c>
      <c r="C41" s="6">
        <f>IF(AND(B41="No",B40="Yes"),start_sal_B,IF(AND('Loan Schedule B'!B41="No",'Loan Schedule B'!B40="No"),'Loan Schedule B'!C40*(1+Sal_Inc),sal_B))</f>
        <v>119123.53671509023</v>
      </c>
      <c r="D41" s="6">
        <f t="shared" si="1"/>
        <v>0</v>
      </c>
      <c r="E41" s="3">
        <f t="shared" si="4"/>
        <v>0</v>
      </c>
      <c r="F41" s="3">
        <f>IF(B41="Yes",0,MAX(0,MIN(E41,(C41-Parameters!$B$15)*Parameters!$B$16)))</f>
        <v>0</v>
      </c>
      <c r="G41" s="7">
        <f>IF(E41=F41,0,E41*(1+infl)-'Loan Schedule B'!F41*(1+infl)^0.5)</f>
        <v>0</v>
      </c>
      <c r="H41" s="52" t="str">
        <f t="shared" si="3"/>
        <v/>
      </c>
    </row>
    <row r="42" spans="1:8" x14ac:dyDescent="0.2">
      <c r="A42" s="23">
        <v>39</v>
      </c>
      <c r="B42" t="str">
        <f t="shared" si="0"/>
        <v>No</v>
      </c>
      <c r="C42" s="6">
        <f>IF(AND(B42="No",B41="Yes"),start_sal_B,IF(AND('Loan Schedule B'!B42="No",'Loan Schedule B'!B41="No"),'Loan Schedule B'!C41*(1+Sal_Inc),sal_B))</f>
        <v>125079.71355084475</v>
      </c>
      <c r="D42" s="6">
        <f t="shared" si="1"/>
        <v>0</v>
      </c>
      <c r="E42" s="3">
        <f t="shared" si="4"/>
        <v>0</v>
      </c>
      <c r="F42" s="3">
        <f>IF(B42="Yes",0,MAX(0,MIN(E42,(C42-Parameters!$B$15)*Parameters!$B$16)))</f>
        <v>0</v>
      </c>
      <c r="G42" s="7">
        <f>IF(E42=F42,0,E42*(1+infl)-'Loan Schedule B'!F42*(1+infl)^0.5)</f>
        <v>0</v>
      </c>
      <c r="H42" s="52" t="str">
        <f t="shared" si="3"/>
        <v/>
      </c>
    </row>
    <row r="43" spans="1:8" x14ac:dyDescent="0.2">
      <c r="A43" s="24">
        <v>40</v>
      </c>
      <c r="B43" s="34" t="str">
        <f t="shared" si="0"/>
        <v>No</v>
      </c>
      <c r="C43" s="30">
        <f>IF(AND(B43="No",B42="Yes"),start_sal_B,IF(AND('Loan Schedule B'!B43="No",'Loan Schedule B'!B42="No"),'Loan Schedule B'!C42*(1+Sal_Inc),sal_B))</f>
        <v>131333.69922838701</v>
      </c>
      <c r="D43" s="30">
        <f t="shared" si="1"/>
        <v>0</v>
      </c>
      <c r="E43" s="31">
        <f t="shared" si="4"/>
        <v>0</v>
      </c>
      <c r="F43" s="31">
        <f>IF(B43="Yes",0,MAX(0,MIN(E43,(C43-Parameters!$B$15)*Parameters!$B$16)))</f>
        <v>0</v>
      </c>
      <c r="G43" s="32">
        <f>IF(E43=F43,0,E43*(1+infl)-'Loan Schedule B'!F43*(1+infl)^0.5)</f>
        <v>0</v>
      </c>
      <c r="H43" s="52" t="str">
        <f t="shared" si="3"/>
        <v/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5"/>
  <sheetViews>
    <sheetView workbookViewId="0"/>
  </sheetViews>
  <sheetFormatPr defaultRowHeight="12.75" x14ac:dyDescent="0.2"/>
  <cols>
    <col min="2" max="2" width="16" customWidth="1"/>
    <col min="3" max="3" width="16.42578125" customWidth="1"/>
    <col min="4" max="4" width="19.7109375" customWidth="1"/>
    <col min="5" max="5" width="20.5703125" customWidth="1"/>
    <col min="6" max="6" width="11.28515625" bestFit="1" customWidth="1"/>
    <col min="7" max="8" width="12.85546875" bestFit="1" customWidth="1"/>
    <col min="9" max="10" width="10.7109375" bestFit="1" customWidth="1"/>
  </cols>
  <sheetData>
    <row r="1" spans="1:10" s="11" customFormat="1" x14ac:dyDescent="0.2">
      <c r="A1" s="33" t="s">
        <v>12</v>
      </c>
    </row>
    <row r="2" spans="1:10" x14ac:dyDescent="0.2">
      <c r="B2" s="52" t="s">
        <v>41</v>
      </c>
      <c r="C2" s="52" t="str">
        <f>IF(C3=D45,"Ok","Check")</f>
        <v>Ok</v>
      </c>
      <c r="E2" s="52" t="s">
        <v>41</v>
      </c>
      <c r="F2" s="52" t="str">
        <f>IF(F3=G45,"Ok","Check")</f>
        <v>Ok</v>
      </c>
    </row>
    <row r="3" spans="1:10" x14ac:dyDescent="0.2">
      <c r="A3" s="37" t="s">
        <v>16</v>
      </c>
      <c r="B3" s="59">
        <f>SUM(B6:B45)</f>
        <v>2027927.2354364451</v>
      </c>
      <c r="C3" s="35">
        <f t="shared" ref="C3:F3" si="0">SUM(C6:C45)</f>
        <v>1082154.7474832039</v>
      </c>
      <c r="D3" s="60"/>
      <c r="E3" s="35">
        <f t="shared" si="0"/>
        <v>2179573.8747913674</v>
      </c>
      <c r="F3" s="35">
        <f t="shared" si="0"/>
        <v>1137418.7406601796</v>
      </c>
      <c r="G3" s="36"/>
      <c r="H3" s="97" t="s">
        <v>35</v>
      </c>
      <c r="I3" s="98"/>
      <c r="J3" s="98"/>
    </row>
    <row r="4" spans="1:10" x14ac:dyDescent="0.2">
      <c r="A4" s="37"/>
      <c r="B4" s="99" t="s">
        <v>23</v>
      </c>
      <c r="C4" s="100"/>
      <c r="D4" s="101"/>
      <c r="E4" s="100" t="s">
        <v>22</v>
      </c>
      <c r="F4" s="100"/>
      <c r="G4" s="101"/>
      <c r="H4" s="97" t="s">
        <v>15</v>
      </c>
      <c r="I4" s="98"/>
      <c r="J4" s="52" t="s">
        <v>19</v>
      </c>
    </row>
    <row r="5" spans="1:10" ht="38.25" x14ac:dyDescent="0.2">
      <c r="A5" s="22" t="s">
        <v>3</v>
      </c>
      <c r="B5" s="57" t="s">
        <v>38</v>
      </c>
      <c r="C5" s="56" t="s">
        <v>39</v>
      </c>
      <c r="D5" s="58" t="s">
        <v>40</v>
      </c>
      <c r="E5" s="56" t="s">
        <v>38</v>
      </c>
      <c r="F5" s="56" t="s">
        <v>39</v>
      </c>
      <c r="G5" s="58" t="s">
        <v>40</v>
      </c>
      <c r="H5" s="52" t="s">
        <v>37</v>
      </c>
      <c r="I5" s="52" t="s">
        <v>36</v>
      </c>
      <c r="J5" s="52" t="s">
        <v>37</v>
      </c>
    </row>
    <row r="6" spans="1:10" x14ac:dyDescent="0.2">
      <c r="A6" s="23">
        <v>1</v>
      </c>
      <c r="B6" s="61">
        <f>'Loan Schedule A'!C4-'Loan Schedule A'!F4</f>
        <v>5000</v>
      </c>
      <c r="C6" s="38">
        <f t="shared" ref="C6:C45" si="1">B6/(1+infl)^(A6-0.5)</f>
        <v>4938.647983247949</v>
      </c>
      <c r="D6" s="88">
        <f>C6</f>
        <v>4938.647983247949</v>
      </c>
      <c r="E6" s="38">
        <f>'Loan Schedule B'!C4-'Loan Schedule B'!F4</f>
        <v>0</v>
      </c>
      <c r="F6" s="38">
        <f t="shared" ref="F6:F45" si="2">E6/(1+infl)^(A6-0.5)</f>
        <v>0</v>
      </c>
      <c r="G6" s="87">
        <f>F6</f>
        <v>0</v>
      </c>
      <c r="H6" s="52" t="str">
        <f t="shared" ref="H6:H45" si="3">IF(C6&gt;F6,"A","B")</f>
        <v>A</v>
      </c>
      <c r="I6" s="52" t="str">
        <f>IF(AND(A6&lt;=years_B,'Income Comparison'!H6="A"),"Ok",IF(AND(A6&gt;years_B,H6="B"),"Ok","Check"))</f>
        <v>Ok</v>
      </c>
      <c r="J6" s="52" t="str">
        <f t="shared" ref="J6:J45" si="4">IF(D6&gt;G6,"A","B")</f>
        <v>A</v>
      </c>
    </row>
    <row r="7" spans="1:10" x14ac:dyDescent="0.2">
      <c r="A7" s="23">
        <v>2</v>
      </c>
      <c r="B7" s="61">
        <f>'Loan Schedule A'!C5-'Loan Schedule A'!F5</f>
        <v>5000</v>
      </c>
      <c r="C7" s="38">
        <f t="shared" si="1"/>
        <v>4818.1931543882429</v>
      </c>
      <c r="D7" s="62">
        <f>C7+D6</f>
        <v>9756.841137636191</v>
      </c>
      <c r="E7" s="38">
        <f>'Loan Schedule B'!C5-'Loan Schedule B'!F5</f>
        <v>0</v>
      </c>
      <c r="F7" s="38">
        <f t="shared" si="2"/>
        <v>0</v>
      </c>
      <c r="G7" s="39">
        <f>F7+G6</f>
        <v>0</v>
      </c>
      <c r="H7" s="52" t="str">
        <f t="shared" si="3"/>
        <v>A</v>
      </c>
      <c r="I7" s="52" t="str">
        <f>IF(AND(A7&lt;=years_B,'Income Comparison'!H7="A"),"Ok",IF(AND(A7&gt;years_B,H7="B"),"Ok","Check"))</f>
        <v>Ok</v>
      </c>
      <c r="J7" s="52" t="str">
        <f t="shared" si="4"/>
        <v>A</v>
      </c>
    </row>
    <row r="8" spans="1:10" x14ac:dyDescent="0.2">
      <c r="A8" s="23">
        <v>3</v>
      </c>
      <c r="B8" s="61">
        <f>'Loan Schedule A'!C6-'Loan Schedule A'!F6</f>
        <v>5000</v>
      </c>
      <c r="C8" s="38">
        <f t="shared" si="1"/>
        <v>4700.6762481836522</v>
      </c>
      <c r="D8" s="62">
        <f t="shared" ref="D8:D45" si="5">C8+D7</f>
        <v>14457.517385819843</v>
      </c>
      <c r="E8" s="38">
        <f>'Loan Schedule B'!C6-'Loan Schedule B'!F6</f>
        <v>0</v>
      </c>
      <c r="F8" s="38">
        <f t="shared" si="2"/>
        <v>0</v>
      </c>
      <c r="G8" s="39">
        <f t="shared" ref="G8:G45" si="6">F8+G7</f>
        <v>0</v>
      </c>
      <c r="H8" s="52" t="str">
        <f t="shared" si="3"/>
        <v>A</v>
      </c>
      <c r="I8" s="52" t="str">
        <f>IF(AND(A8&lt;=years_B,'Income Comparison'!H8="A"),"Ok",IF(AND(A8&gt;years_B,H8="B"),"Ok","Check"))</f>
        <v>Ok</v>
      </c>
      <c r="J8" s="52" t="str">
        <f t="shared" si="4"/>
        <v>A</v>
      </c>
    </row>
    <row r="9" spans="1:10" x14ac:dyDescent="0.2">
      <c r="A9" s="23">
        <v>4</v>
      </c>
      <c r="B9" s="61">
        <f>'Loan Schedule A'!C7-'Loan Schedule A'!F7</f>
        <v>19500</v>
      </c>
      <c r="C9" s="38">
        <f t="shared" si="1"/>
        <v>17885.499871137799</v>
      </c>
      <c r="D9" s="62">
        <f t="shared" si="5"/>
        <v>32343.017256957643</v>
      </c>
      <c r="E9" s="38">
        <f>'Loan Schedule B'!C7-'Loan Schedule B'!F7</f>
        <v>0</v>
      </c>
      <c r="F9" s="38">
        <f t="shared" si="2"/>
        <v>0</v>
      </c>
      <c r="G9" s="39">
        <f t="shared" si="6"/>
        <v>0</v>
      </c>
      <c r="H9" s="52" t="str">
        <f t="shared" si="3"/>
        <v>A</v>
      </c>
      <c r="I9" s="52" t="str">
        <f>IF(AND(A9&lt;=years_B,'Income Comparison'!H9="A"),"Ok",IF(AND(A9&gt;years_B,H9="B"),"Ok","Check"))</f>
        <v>Ok</v>
      </c>
      <c r="J9" s="52" t="str">
        <f t="shared" si="4"/>
        <v>A</v>
      </c>
    </row>
    <row r="10" spans="1:10" x14ac:dyDescent="0.2">
      <c r="A10" s="23">
        <v>5</v>
      </c>
      <c r="B10" s="61">
        <f>'Loan Schedule A'!C8-'Loan Schedule A'!F8</f>
        <v>20400</v>
      </c>
      <c r="C10" s="38">
        <f t="shared" si="1"/>
        <v>18254.619005438955</v>
      </c>
      <c r="D10" s="62">
        <f t="shared" si="5"/>
        <v>50597.636262396598</v>
      </c>
      <c r="E10" s="38">
        <f>'Loan Schedule B'!C8-'Loan Schedule B'!F8</f>
        <v>0</v>
      </c>
      <c r="F10" s="38">
        <f t="shared" si="2"/>
        <v>0</v>
      </c>
      <c r="G10" s="39">
        <f t="shared" si="6"/>
        <v>0</v>
      </c>
      <c r="H10" s="52" t="str">
        <f t="shared" si="3"/>
        <v>A</v>
      </c>
      <c r="I10" s="52" t="str">
        <f>IF(AND(A10&lt;=years_B,'Income Comparison'!H10="A"),"Ok",IF(AND(A10&gt;years_B,H10="B"),"Ok","Check"))</f>
        <v>Ok</v>
      </c>
      <c r="J10" s="52" t="str">
        <f t="shared" si="4"/>
        <v>A</v>
      </c>
    </row>
    <row r="11" spans="1:10" x14ac:dyDescent="0.2">
      <c r="A11" s="23">
        <v>6</v>
      </c>
      <c r="B11" s="61">
        <f>'Loan Schedule A'!C9-'Loan Schedule A'!F9</f>
        <v>21345</v>
      </c>
      <c r="C11" s="38">
        <f t="shared" si="1"/>
        <v>18634.377937402896</v>
      </c>
      <c r="D11" s="62">
        <f t="shared" si="5"/>
        <v>69232.014199799494</v>
      </c>
      <c r="E11" s="38">
        <f>'Loan Schedule B'!C9-'Loan Schedule B'!F9</f>
        <v>24000</v>
      </c>
      <c r="F11" s="38">
        <f t="shared" si="2"/>
        <v>20952.216935941415</v>
      </c>
      <c r="G11" s="39">
        <f t="shared" si="6"/>
        <v>20952.216935941415</v>
      </c>
      <c r="H11" s="52" t="str">
        <f t="shared" si="3"/>
        <v>B</v>
      </c>
      <c r="I11" s="52" t="str">
        <f>IF(AND(A11&lt;=years_B,'Income Comparison'!H11="A"),"Ok",IF(AND(A11&gt;years_B,H11="B"),"Ok","Check"))</f>
        <v>Ok</v>
      </c>
      <c r="J11" s="52" t="str">
        <f t="shared" si="4"/>
        <v>A</v>
      </c>
    </row>
    <row r="12" spans="1:10" x14ac:dyDescent="0.2">
      <c r="A12" s="23">
        <v>7</v>
      </c>
      <c r="B12" s="61">
        <f>'Loan Schedule A'!C10-'Loan Schedule A'!F10</f>
        <v>22337.25</v>
      </c>
      <c r="C12" s="38">
        <f t="shared" si="1"/>
        <v>19024.996250095828</v>
      </c>
      <c r="D12" s="62">
        <f t="shared" si="5"/>
        <v>88257.010449895315</v>
      </c>
      <c r="E12" s="38">
        <f>'Loan Schedule B'!C10-'Loan Schedule B'!F10</f>
        <v>25125</v>
      </c>
      <c r="F12" s="38">
        <f t="shared" si="2"/>
        <v>21399.367907135285</v>
      </c>
      <c r="G12" s="39">
        <f t="shared" si="6"/>
        <v>42351.5848430767</v>
      </c>
      <c r="H12" s="52" t="str">
        <f t="shared" si="3"/>
        <v>B</v>
      </c>
      <c r="I12" s="52" t="str">
        <f>IF(AND(A12&lt;=years_B,'Income Comparison'!H12="A"),"Ok",IF(AND(A12&gt;years_B,H12="B"),"Ok","Check"))</f>
        <v>Ok</v>
      </c>
      <c r="J12" s="52" t="str">
        <f t="shared" si="4"/>
        <v>A</v>
      </c>
    </row>
    <row r="13" spans="1:10" x14ac:dyDescent="0.2">
      <c r="A13" s="23">
        <v>8</v>
      </c>
      <c r="B13" s="61">
        <f>'Loan Schedule A'!C11-'Loan Schedule A'!F11</f>
        <v>23379.112499999999</v>
      </c>
      <c r="C13" s="38">
        <f t="shared" si="1"/>
        <v>19426.699856029332</v>
      </c>
      <c r="D13" s="62">
        <f t="shared" si="5"/>
        <v>107683.71030592464</v>
      </c>
      <c r="E13" s="38">
        <f>'Loan Schedule B'!C11-'Loan Schedule B'!F11</f>
        <v>26306.25</v>
      </c>
      <c r="F13" s="38">
        <f t="shared" si="2"/>
        <v>21858.983016899023</v>
      </c>
      <c r="G13" s="39">
        <f t="shared" si="6"/>
        <v>64210.567859975723</v>
      </c>
      <c r="H13" s="52" t="str">
        <f t="shared" si="3"/>
        <v>B</v>
      </c>
      <c r="I13" s="52" t="str">
        <f>IF(AND(A13&lt;=years_B,'Income Comparison'!H13="A"),"Ok",IF(AND(A13&gt;years_B,H13="B"),"Ok","Check"))</f>
        <v>Ok</v>
      </c>
      <c r="J13" s="52" t="str">
        <f t="shared" si="4"/>
        <v>A</v>
      </c>
    </row>
    <row r="14" spans="1:10" x14ac:dyDescent="0.2">
      <c r="A14" s="23">
        <v>9</v>
      </c>
      <c r="B14" s="61">
        <f>'Loan Schedule A'!C12-'Loan Schedule A'!F12</f>
        <v>24473.068125000002</v>
      </c>
      <c r="C14" s="38">
        <f t="shared" si="1"/>
        <v>19839.721127786815</v>
      </c>
      <c r="D14" s="62">
        <f t="shared" si="5"/>
        <v>127523.43143371146</v>
      </c>
      <c r="E14" s="38">
        <f>'Loan Schedule B'!C12-'Loan Schedule B'!F12</f>
        <v>27546.5625</v>
      </c>
      <c r="F14" s="38">
        <f t="shared" si="2"/>
        <v>22331.328268189911</v>
      </c>
      <c r="G14" s="39">
        <f t="shared" si="6"/>
        <v>86541.896128165637</v>
      </c>
      <c r="H14" s="52" t="str">
        <f t="shared" si="3"/>
        <v>B</v>
      </c>
      <c r="I14" s="52" t="str">
        <f>IF(AND(A14&lt;=years_B,'Income Comparison'!H14="A"),"Ok",IF(AND(A14&gt;years_B,H14="B"),"Ok","Check"))</f>
        <v>Ok</v>
      </c>
      <c r="J14" s="52" t="str">
        <f t="shared" si="4"/>
        <v>A</v>
      </c>
    </row>
    <row r="15" spans="1:10" x14ac:dyDescent="0.2">
      <c r="A15" s="23">
        <v>10</v>
      </c>
      <c r="B15" s="61">
        <f>'Loan Schedule A'!C13-'Loan Schedule A'!F13</f>
        <v>25621.721531250001</v>
      </c>
      <c r="C15" s="38">
        <f t="shared" si="1"/>
        <v>20264.29903241522</v>
      </c>
      <c r="D15" s="62">
        <f t="shared" si="5"/>
        <v>147787.7304661267</v>
      </c>
      <c r="E15" s="38">
        <f>'Loan Schedule B'!C13-'Loan Schedule B'!F13</f>
        <v>28848.890625</v>
      </c>
      <c r="F15" s="38">
        <f t="shared" si="2"/>
        <v>22816.677078681805</v>
      </c>
      <c r="G15" s="39">
        <f t="shared" si="6"/>
        <v>109358.57320684745</v>
      </c>
      <c r="H15" s="52" t="str">
        <f t="shared" si="3"/>
        <v>B</v>
      </c>
      <c r="I15" s="52" t="str">
        <f>IF(AND(A15&lt;=years_B,'Income Comparison'!H15="A"),"Ok",IF(AND(A15&gt;years_B,H15="B"),"Ok","Check"))</f>
        <v>Ok</v>
      </c>
      <c r="J15" s="52" t="str">
        <f t="shared" si="4"/>
        <v>A</v>
      </c>
    </row>
    <row r="16" spans="1:10" x14ac:dyDescent="0.2">
      <c r="A16" s="23">
        <v>11</v>
      </c>
      <c r="B16" s="61">
        <f>'Loan Schedule A'!C14-'Loan Schedule A'!F14</f>
        <v>26827.807607812501</v>
      </c>
      <c r="C16" s="38">
        <f t="shared" si="1"/>
        <v>20700.679269659802</v>
      </c>
      <c r="D16" s="62">
        <f t="shared" si="5"/>
        <v>168488.4097357865</v>
      </c>
      <c r="E16" s="38">
        <f>'Loan Schedule B'!C14-'Loan Schedule B'!F14</f>
        <v>30216.335156249999</v>
      </c>
      <c r="F16" s="38">
        <f t="shared" si="2"/>
        <v>23315.310439006058</v>
      </c>
      <c r="G16" s="39">
        <f t="shared" si="6"/>
        <v>132673.88364585349</v>
      </c>
      <c r="H16" s="52" t="str">
        <f t="shared" si="3"/>
        <v>B</v>
      </c>
      <c r="I16" s="52" t="str">
        <f>IF(AND(A16&lt;=years_B,'Income Comparison'!H16="A"),"Ok",IF(AND(A16&gt;years_B,H16="B"),"Ok","Check"))</f>
        <v>Ok</v>
      </c>
      <c r="J16" s="52" t="str">
        <f t="shared" si="4"/>
        <v>A</v>
      </c>
    </row>
    <row r="17" spans="1:10" x14ac:dyDescent="0.2">
      <c r="A17" s="23">
        <v>12</v>
      </c>
      <c r="B17" s="61">
        <f>'Loan Schedule A'!C15-'Loan Schedule A'!F15</f>
        <v>28094.19798820313</v>
      </c>
      <c r="C17" s="38">
        <f t="shared" si="1"/>
        <v>21149.114414121759</v>
      </c>
      <c r="D17" s="62">
        <f t="shared" si="5"/>
        <v>189637.52414990825</v>
      </c>
      <c r="E17" s="38">
        <f>'Loan Schedule B'!C15-'Loan Schedule B'!F15</f>
        <v>31652.151914062499</v>
      </c>
      <c r="F17" s="38">
        <f t="shared" si="2"/>
        <v>23827.517075403292</v>
      </c>
      <c r="G17" s="39">
        <f t="shared" si="6"/>
        <v>156501.4007212568</v>
      </c>
      <c r="H17" s="52" t="str">
        <f t="shared" si="3"/>
        <v>B</v>
      </c>
      <c r="I17" s="52" t="str">
        <f>IF(AND(A17&lt;=years_B,'Income Comparison'!H17="A"),"Ok",IF(AND(A17&gt;years_B,H17="B"),"Ok","Check"))</f>
        <v>Ok</v>
      </c>
      <c r="J17" s="52" t="str">
        <f t="shared" si="4"/>
        <v>A</v>
      </c>
    </row>
    <row r="18" spans="1:10" x14ac:dyDescent="0.2">
      <c r="A18" s="23">
        <v>13</v>
      </c>
      <c r="B18" s="61">
        <f>'Loan Schedule A'!C16-'Loan Schedule A'!F16</f>
        <v>29423.907887613288</v>
      </c>
      <c r="C18" s="38">
        <f t="shared" si="1"/>
        <v>21609.864061421114</v>
      </c>
      <c r="D18" s="62">
        <f t="shared" si="5"/>
        <v>211247.38821132935</v>
      </c>
      <c r="E18" s="38">
        <f>'Loan Schedule B'!C16-'Loan Schedule B'!F16</f>
        <v>33159.759509765623</v>
      </c>
      <c r="F18" s="38">
        <f t="shared" si="2"/>
        <v>24353.59361688024</v>
      </c>
      <c r="G18" s="39">
        <f t="shared" si="6"/>
        <v>180854.99433813704</v>
      </c>
      <c r="H18" s="52" t="str">
        <f t="shared" si="3"/>
        <v>B</v>
      </c>
      <c r="I18" s="52" t="str">
        <f>IF(AND(A18&lt;=years_B,'Income Comparison'!H18="A"),"Ok",IF(AND(A18&gt;years_B,H18="B"),"Ok","Check"))</f>
        <v>Ok</v>
      </c>
      <c r="J18" s="52" t="str">
        <f t="shared" si="4"/>
        <v>A</v>
      </c>
    </row>
    <row r="19" spans="1:10" x14ac:dyDescent="0.2">
      <c r="A19" s="23">
        <v>14</v>
      </c>
      <c r="B19" s="61">
        <f>'Loan Schedule A'!C17-'Loan Schedule A'!F17</f>
        <v>30820.10328199395</v>
      </c>
      <c r="C19" s="38">
        <f t="shared" si="1"/>
        <v>22083.194978449272</v>
      </c>
      <c r="D19" s="62">
        <f t="shared" si="5"/>
        <v>233330.58318977861</v>
      </c>
      <c r="E19" s="38">
        <f>'Loan Schedule B'!C17-'Loan Schedule B'!F17</f>
        <v>34742.747485253909</v>
      </c>
      <c r="F19" s="38">
        <f t="shared" si="2"/>
        <v>24893.844766968385</v>
      </c>
      <c r="G19" s="39">
        <f t="shared" si="6"/>
        <v>205748.83910510544</v>
      </c>
      <c r="H19" s="52" t="str">
        <f t="shared" si="3"/>
        <v>B</v>
      </c>
      <c r="I19" s="52" t="str">
        <f>IF(AND(A19&lt;=years_B,'Income Comparison'!H19="A"),"Ok",IF(AND(A19&gt;years_B,H19="B"),"Ok","Check"))</f>
        <v>Ok</v>
      </c>
      <c r="J19" s="52" t="str">
        <f t="shared" si="4"/>
        <v>A</v>
      </c>
    </row>
    <row r="20" spans="1:10" x14ac:dyDescent="0.2">
      <c r="A20" s="23">
        <v>15</v>
      </c>
      <c r="B20" s="61">
        <f>'Loan Schedule A'!C18-'Loan Schedule A'!F18</f>
        <v>32286.108446093647</v>
      </c>
      <c r="C20" s="38">
        <f t="shared" si="1"/>
        <v>22569.381257798323</v>
      </c>
      <c r="D20" s="62">
        <f t="shared" si="5"/>
        <v>255899.96444757693</v>
      </c>
      <c r="E20" s="38">
        <f>'Loan Schedule B'!C18-'Loan Schedule B'!F18</f>
        <v>36404.884859516606</v>
      </c>
      <c r="F20" s="38">
        <f t="shared" si="2"/>
        <v>25448.583480183755</v>
      </c>
      <c r="G20" s="39">
        <f t="shared" si="6"/>
        <v>231197.4225852892</v>
      </c>
      <c r="H20" s="52" t="str">
        <f t="shared" si="3"/>
        <v>B</v>
      </c>
      <c r="I20" s="52" t="str">
        <f>IF(AND(A20&lt;=years_B,'Income Comparison'!H20="A"),"Ok",IF(AND(A20&gt;years_B,H20="B"),"Ok","Check"))</f>
        <v>Ok</v>
      </c>
      <c r="J20" s="52" t="str">
        <f t="shared" si="4"/>
        <v>A</v>
      </c>
    </row>
    <row r="21" spans="1:10" x14ac:dyDescent="0.2">
      <c r="A21" s="23">
        <v>16</v>
      </c>
      <c r="B21" s="61">
        <f>'Loan Schedule A'!C19-'Loan Schedule A'!F19</f>
        <v>33825.413868398333</v>
      </c>
      <c r="C21" s="38">
        <f t="shared" si="1"/>
        <v>23068.704476456391</v>
      </c>
      <c r="D21" s="62">
        <f t="shared" si="5"/>
        <v>278968.66892403329</v>
      </c>
      <c r="E21" s="38">
        <f>'Loan Schedule B'!C19-'Loan Schedule B'!F19</f>
        <v>38150.129102492436</v>
      </c>
      <c r="F21" s="38">
        <f t="shared" si="2"/>
        <v>26018.131143290244</v>
      </c>
      <c r="G21" s="39">
        <f t="shared" si="6"/>
        <v>257215.55372857943</v>
      </c>
      <c r="H21" s="52" t="str">
        <f t="shared" si="3"/>
        <v>B</v>
      </c>
      <c r="I21" s="52" t="str">
        <f>IF(AND(A21&lt;=years_B,'Income Comparison'!H21="A"),"Ok",IF(AND(A21&gt;years_B,H21="B"),"Ok","Check"))</f>
        <v>Ok</v>
      </c>
      <c r="J21" s="52" t="str">
        <f t="shared" si="4"/>
        <v>A</v>
      </c>
    </row>
    <row r="22" spans="1:10" x14ac:dyDescent="0.2">
      <c r="A22" s="23">
        <v>17</v>
      </c>
      <c r="B22" s="61">
        <f>'Loan Schedule A'!C20-'Loan Schedule A'!F20</f>
        <v>35441.684561818256</v>
      </c>
      <c r="C22" s="38">
        <f t="shared" si="1"/>
        <v>23581.453858860918</v>
      </c>
      <c r="D22" s="62">
        <f t="shared" si="5"/>
        <v>302550.12278289424</v>
      </c>
      <c r="E22" s="38">
        <f>'Loan Schedule B'!C20-'Loan Schedule B'!F20</f>
        <v>39982.635557617061</v>
      </c>
      <c r="F22" s="38">
        <f t="shared" si="2"/>
        <v>26602.817761471208</v>
      </c>
      <c r="G22" s="39">
        <f t="shared" si="6"/>
        <v>283818.37149005063</v>
      </c>
      <c r="H22" s="52" t="str">
        <f t="shared" si="3"/>
        <v>B</v>
      </c>
      <c r="I22" s="52" t="str">
        <f>IF(AND(A22&lt;=years_B,'Income Comparison'!H22="A"),"Ok",IF(AND(A22&gt;years_B,H22="B"),"Ok","Check"))</f>
        <v>Ok</v>
      </c>
      <c r="J22" s="52" t="str">
        <f t="shared" si="4"/>
        <v>A</v>
      </c>
    </row>
    <row r="23" spans="1:10" x14ac:dyDescent="0.2">
      <c r="A23" s="23">
        <v>18</v>
      </c>
      <c r="B23" s="61">
        <f>'Loan Schedule A'!C21-'Loan Schedule A'!F21</f>
        <v>38160.354294626537</v>
      </c>
      <c r="C23" s="38">
        <f t="shared" si="1"/>
        <v>24771.069273497989</v>
      </c>
      <c r="D23" s="62">
        <f t="shared" si="5"/>
        <v>327321.1920563922</v>
      </c>
      <c r="E23" s="38">
        <f>'Loan Schedule B'!C21-'Loan Schedule B'!F21</f>
        <v>41906.767335497912</v>
      </c>
      <c r="F23" s="38">
        <f t="shared" si="2"/>
        <v>27202.982149517298</v>
      </c>
      <c r="G23" s="39">
        <f t="shared" si="6"/>
        <v>311021.35363956791</v>
      </c>
      <c r="H23" s="52" t="str">
        <f t="shared" si="3"/>
        <v>B</v>
      </c>
      <c r="I23" s="52" t="str">
        <f>IF(AND(A23&lt;=years_B,'Income Comparison'!H23="A"),"Ok",IF(AND(A23&gt;years_B,H23="B"),"Ok","Check"))</f>
        <v>Ok</v>
      </c>
      <c r="J23" s="52" t="str">
        <f t="shared" si="4"/>
        <v>A</v>
      </c>
    </row>
    <row r="24" spans="1:10" x14ac:dyDescent="0.2">
      <c r="A24" s="23">
        <v>19</v>
      </c>
      <c r="B24" s="61">
        <f>'Loan Schedule A'!C22-'Loan Schedule A'!F22</f>
        <v>41578.563588227364</v>
      </c>
      <c r="C24" s="38">
        <f t="shared" si="1"/>
        <v>26331.643824400686</v>
      </c>
      <c r="D24" s="62">
        <f t="shared" si="5"/>
        <v>353652.83588079287</v>
      </c>
      <c r="E24" s="38">
        <f>'Loan Schedule B'!C22-'Loan Schedule B'!F22</f>
        <v>43927.105702272813</v>
      </c>
      <c r="F24" s="38">
        <f t="shared" si="2"/>
        <v>27818.972128141308</v>
      </c>
      <c r="G24" s="39">
        <f t="shared" si="6"/>
        <v>338840.32576770923</v>
      </c>
      <c r="H24" s="52" t="str">
        <f t="shared" si="3"/>
        <v>B</v>
      </c>
      <c r="I24" s="52" t="str">
        <f>IF(AND(A24&lt;=years_B,'Income Comparison'!H24="A"),"Ok",IF(AND(A24&gt;years_B,H24="B"),"Ok","Check"))</f>
        <v>Ok</v>
      </c>
      <c r="J24" s="52" t="str">
        <f t="shared" si="4"/>
        <v>A</v>
      </c>
    </row>
    <row r="25" spans="1:10" x14ac:dyDescent="0.2">
      <c r="A25" s="23">
        <v>20</v>
      </c>
      <c r="B25" s="61">
        <f>'Loan Schedule A'!C23-'Loan Schedule A'!F23</f>
        <v>43657.491767638734</v>
      </c>
      <c r="C25" s="38">
        <f t="shared" si="1"/>
        <v>26973.879039629974</v>
      </c>
      <c r="D25" s="62">
        <f t="shared" si="5"/>
        <v>380626.71492042288</v>
      </c>
      <c r="E25" s="38">
        <f>'Loan Schedule B'!C23-'Loan Schedule B'!F23</f>
        <v>46048.460987386454</v>
      </c>
      <c r="F25" s="38">
        <f t="shared" si="2"/>
        <v>28451.144725533617</v>
      </c>
      <c r="G25" s="39">
        <f t="shared" si="6"/>
        <v>367291.47049324284</v>
      </c>
      <c r="H25" s="52" t="str">
        <f t="shared" si="3"/>
        <v>B</v>
      </c>
      <c r="I25" s="52" t="str">
        <f>IF(AND(A25&lt;=years_B,'Income Comparison'!H25="A"),"Ok",IF(AND(A25&gt;years_B,H25="B"),"Ok","Check"))</f>
        <v>Ok</v>
      </c>
      <c r="J25" s="52" t="str">
        <f t="shared" si="4"/>
        <v>A</v>
      </c>
    </row>
    <row r="26" spans="1:10" x14ac:dyDescent="0.2">
      <c r="A26" s="23">
        <v>21</v>
      </c>
      <c r="B26" s="61">
        <f>'Loan Schedule A'!C24-'Loan Schedule A'!F24</f>
        <v>45840.36635602067</v>
      </c>
      <c r="C26" s="38">
        <f t="shared" si="1"/>
        <v>27631.778528401443</v>
      </c>
      <c r="D26" s="62">
        <f t="shared" si="5"/>
        <v>408258.49344882433</v>
      </c>
      <c r="E26" s="38">
        <f>'Loan Schedule B'!C24-'Loan Schedule B'!F24</f>
        <v>48275.884036755779</v>
      </c>
      <c r="F26" s="38">
        <f t="shared" si="2"/>
        <v>29099.86638427521</v>
      </c>
      <c r="G26" s="39">
        <f t="shared" si="6"/>
        <v>396391.33687751804</v>
      </c>
      <c r="H26" s="52" t="str">
        <f t="shared" si="3"/>
        <v>B</v>
      </c>
      <c r="I26" s="52" t="str">
        <f>IF(AND(A26&lt;=years_B,'Income Comparison'!H26="A"),"Ok",IF(AND(A26&gt;years_B,H26="B"),"Ok","Check"))</f>
        <v>Ok</v>
      </c>
      <c r="J26" s="52" t="str">
        <f t="shared" si="4"/>
        <v>A</v>
      </c>
    </row>
    <row r="27" spans="1:10" x14ac:dyDescent="0.2">
      <c r="A27" s="23">
        <v>22</v>
      </c>
      <c r="B27" s="61">
        <f>'Loan Schedule A'!C25-'Loan Schedule A'!F25</f>
        <v>48132.384673821703</v>
      </c>
      <c r="C27" s="38">
        <f t="shared" si="1"/>
        <v>28305.724346167328</v>
      </c>
      <c r="D27" s="62">
        <f t="shared" si="5"/>
        <v>436564.21779499168</v>
      </c>
      <c r="E27" s="38">
        <f>'Loan Schedule B'!C25-'Loan Schedule B'!F25</f>
        <v>50614.678238593573</v>
      </c>
      <c r="F27" s="38">
        <f t="shared" si="2"/>
        <v>29765.513173728003</v>
      </c>
      <c r="G27" s="39">
        <f t="shared" si="6"/>
        <v>426156.85005124606</v>
      </c>
      <c r="H27" s="52" t="str">
        <f t="shared" si="3"/>
        <v>B</v>
      </c>
      <c r="I27" s="52" t="str">
        <f>IF(AND(A27&lt;=years_B,'Income Comparison'!H27="A"),"Ok",IF(AND(A27&gt;years_B,H27="B"),"Ok","Check"))</f>
        <v>Ok</v>
      </c>
      <c r="J27" s="52" t="str">
        <f t="shared" si="4"/>
        <v>A</v>
      </c>
    </row>
    <row r="28" spans="1:10" x14ac:dyDescent="0.2">
      <c r="A28" s="23">
        <v>23</v>
      </c>
      <c r="B28" s="61">
        <f>'Loan Schedule A'!C26-'Loan Schedule A'!F26</f>
        <v>50539.003907512793</v>
      </c>
      <c r="C28" s="38">
        <f t="shared" si="1"/>
        <v>28996.107866805563</v>
      </c>
      <c r="D28" s="62">
        <f t="shared" si="5"/>
        <v>465560.32566179725</v>
      </c>
      <c r="E28" s="38">
        <f>'Loan Schedule B'!C26-'Loan Schedule B'!F26</f>
        <v>53070.412150523247</v>
      </c>
      <c r="F28" s="38">
        <f t="shared" si="2"/>
        <v>30448.471008025695</v>
      </c>
      <c r="G28" s="39">
        <f t="shared" si="6"/>
        <v>456605.32105927175</v>
      </c>
      <c r="H28" s="52" t="str">
        <f t="shared" si="3"/>
        <v>B</v>
      </c>
      <c r="I28" s="52" t="str">
        <f>IF(AND(A28&lt;=years_B,'Income Comparison'!H28="A"),"Ok",IF(AND(A28&gt;years_B,H28="B"),"Ok","Check"))</f>
        <v>Ok</v>
      </c>
      <c r="J28" s="52" t="str">
        <f t="shared" si="4"/>
        <v>A</v>
      </c>
    </row>
    <row r="29" spans="1:10" x14ac:dyDescent="0.2">
      <c r="A29" s="23">
        <v>24</v>
      </c>
      <c r="B29" s="61">
        <f>'Loan Schedule A'!C27-'Loan Schedule A'!F27</f>
        <v>53065.954102888434</v>
      </c>
      <c r="C29" s="38">
        <f t="shared" si="1"/>
        <v>29703.330009898385</v>
      </c>
      <c r="D29" s="62">
        <f t="shared" si="5"/>
        <v>495263.65567169565</v>
      </c>
      <c r="E29" s="38">
        <f>'Loan Schedule B'!C27-'Loan Schedule B'!F27</f>
        <v>55648.932758049414</v>
      </c>
      <c r="F29" s="38">
        <f t="shared" si="2"/>
        <v>31149.135869791404</v>
      </c>
      <c r="G29" s="39">
        <f t="shared" si="6"/>
        <v>487754.45692906313</v>
      </c>
      <c r="H29" s="52" t="str">
        <f t="shared" si="3"/>
        <v>B</v>
      </c>
      <c r="I29" s="52" t="str">
        <f>IF(AND(A29&lt;=years_B,'Income Comparison'!H29="A"),"Ok",IF(AND(A29&gt;years_B,H29="B"),"Ok","Check"))</f>
        <v>Ok</v>
      </c>
      <c r="J29" s="52" t="str">
        <f t="shared" si="4"/>
        <v>A</v>
      </c>
    </row>
    <row r="30" spans="1:10" x14ac:dyDescent="0.2">
      <c r="A30" s="23">
        <v>25</v>
      </c>
      <c r="B30" s="61">
        <f>'Loan Schedule A'!C28-'Loan Schedule A'!F28</f>
        <v>55719.251808032859</v>
      </c>
      <c r="C30" s="38">
        <f t="shared" si="1"/>
        <v>30427.801473554446</v>
      </c>
      <c r="D30" s="62">
        <f t="shared" si="5"/>
        <v>525691.45714525005</v>
      </c>
      <c r="E30" s="38">
        <f>'Loan Schedule B'!C28-'Loan Schedule B'!F28</f>
        <v>58356.379395951881</v>
      </c>
      <c r="F30" s="38">
        <f t="shared" si="2"/>
        <v>31867.914039711792</v>
      </c>
      <c r="G30" s="39">
        <f t="shared" si="6"/>
        <v>519622.37096877495</v>
      </c>
      <c r="H30" s="52" t="str">
        <f t="shared" si="3"/>
        <v>B</v>
      </c>
      <c r="I30" s="52" t="str">
        <f>IF(AND(A30&lt;=years_B,'Income Comparison'!H30="A"),"Ok",IF(AND(A30&gt;years_B,H30="B"),"Ok","Check"))</f>
        <v>Ok</v>
      </c>
      <c r="J30" s="52" t="str">
        <f t="shared" si="4"/>
        <v>A</v>
      </c>
    </row>
    <row r="31" spans="1:10" x14ac:dyDescent="0.2">
      <c r="A31" s="23">
        <v>26</v>
      </c>
      <c r="B31" s="61">
        <f>'Loan Schedule A'!C29-'Loan Schedule A'!F29</f>
        <v>58505.214398434502</v>
      </c>
      <c r="C31" s="38">
        <f t="shared" si="1"/>
        <v>31169.942972909434</v>
      </c>
      <c r="D31" s="62">
        <f t="shared" si="5"/>
        <v>556861.40011815948</v>
      </c>
      <c r="E31" s="38">
        <f>'Loan Schedule B'!C29-'Loan Schedule B'!F29</f>
        <v>61199.198365749478</v>
      </c>
      <c r="F31" s="38">
        <f t="shared" si="2"/>
        <v>32605.222332100828</v>
      </c>
      <c r="G31" s="39">
        <f t="shared" si="6"/>
        <v>552227.59330087574</v>
      </c>
      <c r="H31" s="52" t="str">
        <f t="shared" si="3"/>
        <v>B</v>
      </c>
      <c r="I31" s="52" t="str">
        <f>IF(AND(A31&lt;=years_B,'Income Comparison'!H31="A"),"Ok",IF(AND(A31&gt;years_B,H31="B"),"Ok","Check"))</f>
        <v>Ok</v>
      </c>
      <c r="J31" s="52" t="str">
        <f t="shared" si="4"/>
        <v>A</v>
      </c>
    </row>
    <row r="32" spans="1:10" x14ac:dyDescent="0.2">
      <c r="A32" s="23">
        <v>27</v>
      </c>
      <c r="B32" s="61">
        <f>'Loan Schedule A'!C30-'Loan Schedule A'!F30</f>
        <v>61430.475118356233</v>
      </c>
      <c r="C32" s="38">
        <f t="shared" si="1"/>
        <v>31930.18548444382</v>
      </c>
      <c r="D32" s="62">
        <f t="shared" si="5"/>
        <v>588791.58560260327</v>
      </c>
      <c r="E32" s="38">
        <f>'Loan Schedule B'!C30-'Loan Schedule B'!F30</f>
        <v>64184.158284036952</v>
      </c>
      <c r="F32" s="38">
        <f t="shared" si="2"/>
        <v>33361.488336589638</v>
      </c>
      <c r="G32" s="39">
        <f t="shared" si="6"/>
        <v>585589.0816374654</v>
      </c>
      <c r="H32" s="52" t="str">
        <f t="shared" si="3"/>
        <v>B</v>
      </c>
      <c r="I32" s="52" t="str">
        <f>IF(AND(A32&lt;=years_B,'Income Comparison'!H32="A"),"Ok",IF(AND(A32&gt;years_B,H32="B"),"Ok","Check"))</f>
        <v>Ok</v>
      </c>
      <c r="J32" s="52" t="str">
        <f t="shared" si="4"/>
        <v>A</v>
      </c>
    </row>
    <row r="33" spans="1:10" x14ac:dyDescent="0.2">
      <c r="A33" s="23">
        <v>28</v>
      </c>
      <c r="B33" s="61">
        <f>'Loan Schedule A'!C31-'Loan Schedule A'!F31</f>
        <v>64501.998874274046</v>
      </c>
      <c r="C33" s="38">
        <f t="shared" si="1"/>
        <v>32708.970496259524</v>
      </c>
      <c r="D33" s="62">
        <f t="shared" si="5"/>
        <v>621500.55609886278</v>
      </c>
      <c r="E33" s="38">
        <f>'Loan Schedule B'!C31-'Loan Schedule B'!F31</f>
        <v>67318.3661982388</v>
      </c>
      <c r="F33" s="38">
        <f t="shared" si="2"/>
        <v>34137.150666082664</v>
      </c>
      <c r="G33" s="39">
        <f t="shared" si="6"/>
        <v>619726.23230354802</v>
      </c>
      <c r="H33" s="52" t="str">
        <f t="shared" si="3"/>
        <v>B</v>
      </c>
      <c r="I33" s="52" t="str">
        <f>IF(AND(A33&lt;=years_B,'Income Comparison'!H33="A"),"Ok",IF(AND(A33&gt;years_B,H33="B"),"Ok","Check"))</f>
        <v>Ok</v>
      </c>
      <c r="J33" s="52" t="str">
        <f t="shared" si="4"/>
        <v>A</v>
      </c>
    </row>
    <row r="34" spans="1:10" x14ac:dyDescent="0.2">
      <c r="A34" s="23">
        <v>29</v>
      </c>
      <c r="B34" s="61">
        <f>'Loan Schedule A'!C32-'Loan Schedule A'!F32</f>
        <v>67727.098817987746</v>
      </c>
      <c r="C34" s="38">
        <f t="shared" si="1"/>
        <v>33506.750264460978</v>
      </c>
      <c r="D34" s="62">
        <f t="shared" si="5"/>
        <v>655007.3063633237</v>
      </c>
      <c r="E34" s="38">
        <f>'Loan Schedule B'!C32-'Loan Schedule B'!F32</f>
        <v>70609.284508150755</v>
      </c>
      <c r="F34" s="38">
        <f t="shared" si="2"/>
        <v>34932.659211123937</v>
      </c>
      <c r="G34" s="39">
        <f t="shared" si="6"/>
        <v>654658.89151467197</v>
      </c>
      <c r="H34" s="52" t="str">
        <f t="shared" si="3"/>
        <v>B</v>
      </c>
      <c r="I34" s="52" t="str">
        <f>IF(AND(A34&lt;=years_B,'Income Comparison'!H34="A"),"Ok",IF(AND(A34&gt;years_B,H34="B"),"Ok","Check"))</f>
        <v>Ok</v>
      </c>
      <c r="J34" s="52" t="str">
        <f t="shared" si="4"/>
        <v>A</v>
      </c>
    </row>
    <row r="35" spans="1:10" x14ac:dyDescent="0.2">
      <c r="A35" s="23">
        <v>30</v>
      </c>
      <c r="B35" s="61">
        <f>'Loan Schedule A'!C33-'Loan Schedule A'!F33</f>
        <v>71113.453758887132</v>
      </c>
      <c r="C35" s="38">
        <f t="shared" si="1"/>
        <v>34323.988075789304</v>
      </c>
      <c r="D35" s="62">
        <f t="shared" si="5"/>
        <v>689331.294439113</v>
      </c>
      <c r="E35" s="38">
        <f>'Loan Schedule B'!C33-'Loan Schedule B'!F33</f>
        <v>77448.686773769499</v>
      </c>
      <c r="F35" s="38">
        <f t="shared" si="2"/>
        <v>37381.784469667778</v>
      </c>
      <c r="G35" s="39">
        <f t="shared" si="6"/>
        <v>692040.67598433979</v>
      </c>
      <c r="H35" s="52" t="str">
        <f t="shared" si="3"/>
        <v>B</v>
      </c>
      <c r="I35" s="52" t="str">
        <f>IF(AND(A35&lt;=years_B,'Income Comparison'!H35="A"),"Ok",IF(AND(A35&gt;years_B,H35="B"),"Ok","Check"))</f>
        <v>Ok</v>
      </c>
      <c r="J35" s="52" t="str">
        <f t="shared" si="4"/>
        <v>B</v>
      </c>
    </row>
    <row r="36" spans="1:10" x14ac:dyDescent="0.2">
      <c r="A36" s="23">
        <v>31</v>
      </c>
      <c r="B36" s="61">
        <f>'Loan Schedule A'!C34-'Loan Schedule A'!F34</f>
        <v>74669.126446831491</v>
      </c>
      <c r="C36" s="38">
        <f t="shared" si="1"/>
        <v>35161.15851666221</v>
      </c>
      <c r="D36" s="62">
        <f t="shared" si="5"/>
        <v>724492.4529557752</v>
      </c>
      <c r="E36" s="38">
        <f>'Loan Schedule B'!C34-'Loan Schedule B'!F34</f>
        <v>84658.873522484675</v>
      </c>
      <c r="F36" s="38">
        <f t="shared" si="2"/>
        <v>39865.259089186176</v>
      </c>
      <c r="G36" s="39">
        <f t="shared" si="6"/>
        <v>731905.93507352599</v>
      </c>
      <c r="H36" s="52" t="str">
        <f t="shared" si="3"/>
        <v>B</v>
      </c>
      <c r="I36" s="52" t="str">
        <f>IF(AND(A36&lt;=years_B,'Income Comparison'!H36="A"),"Ok",IF(AND(A36&gt;years_B,H36="B"),"Ok","Check"))</f>
        <v>Ok</v>
      </c>
      <c r="J36" s="52" t="str">
        <f t="shared" si="4"/>
        <v>B</v>
      </c>
    </row>
    <row r="37" spans="1:10" x14ac:dyDescent="0.2">
      <c r="A37" s="23">
        <v>32</v>
      </c>
      <c r="B37" s="61">
        <f>'Loan Schedule A'!C35-'Loan Schedule A'!F35</f>
        <v>78402.582769173066</v>
      </c>
      <c r="C37" s="38">
        <f t="shared" si="1"/>
        <v>36018.747748775932</v>
      </c>
      <c r="D37" s="62">
        <f t="shared" si="5"/>
        <v>760511.20070455107</v>
      </c>
      <c r="E37" s="38">
        <f>'Loan Schedule B'!C35-'Loan Schedule B'!F35</f>
        <v>88891.817198608915</v>
      </c>
      <c r="F37" s="38">
        <f t="shared" si="2"/>
        <v>40837.582481605365</v>
      </c>
      <c r="G37" s="39">
        <f t="shared" si="6"/>
        <v>772743.51755513134</v>
      </c>
      <c r="H37" s="52" t="str">
        <f t="shared" si="3"/>
        <v>B</v>
      </c>
      <c r="I37" s="52" t="str">
        <f>IF(AND(A37&lt;=years_B,'Income Comparison'!H37="A"),"Ok",IF(AND(A37&gt;years_B,H37="B"),"Ok","Check"))</f>
        <v>Ok</v>
      </c>
      <c r="J37" s="52" t="str">
        <f t="shared" si="4"/>
        <v>B</v>
      </c>
    </row>
    <row r="38" spans="1:10" x14ac:dyDescent="0.2">
      <c r="A38" s="23">
        <v>33</v>
      </c>
      <c r="B38" s="61">
        <f>'Loan Schedule A'!C36-'Loan Schedule A'!F36</f>
        <v>82322.711907631718</v>
      </c>
      <c r="C38" s="38">
        <f t="shared" si="1"/>
        <v>36897.253791429001</v>
      </c>
      <c r="D38" s="62">
        <f t="shared" si="5"/>
        <v>797408.45449598006</v>
      </c>
      <c r="E38" s="38">
        <f>'Loan Schedule B'!C36-'Loan Schedule B'!F36</f>
        <v>93336.408058539368</v>
      </c>
      <c r="F38" s="38">
        <f t="shared" si="2"/>
        <v>41833.62107871769</v>
      </c>
      <c r="G38" s="39">
        <f t="shared" si="6"/>
        <v>814577.13863384898</v>
      </c>
      <c r="H38" s="52" t="str">
        <f t="shared" si="3"/>
        <v>B</v>
      </c>
      <c r="I38" s="52" t="str">
        <f>IF(AND(A38&lt;=years_B,'Income Comparison'!H38="A"),"Ok",IF(AND(A38&gt;years_B,H38="B"),"Ok","Check"))</f>
        <v>Ok</v>
      </c>
      <c r="J38" s="52" t="str">
        <f t="shared" si="4"/>
        <v>B</v>
      </c>
    </row>
    <row r="39" spans="1:10" x14ac:dyDescent="0.2">
      <c r="A39" s="23">
        <v>34</v>
      </c>
      <c r="B39" s="61">
        <f>'Loan Schedule A'!C37-'Loan Schedule A'!F37</f>
        <v>86438.847503013312</v>
      </c>
      <c r="C39" s="38">
        <f t="shared" si="1"/>
        <v>37797.18681073215</v>
      </c>
      <c r="D39" s="62">
        <f t="shared" si="5"/>
        <v>835205.64130671218</v>
      </c>
      <c r="E39" s="38">
        <f>'Loan Schedule B'!C37-'Loan Schedule B'!F37</f>
        <v>98003.228461466337</v>
      </c>
      <c r="F39" s="38">
        <f t="shared" si="2"/>
        <v>42853.953300149835</v>
      </c>
      <c r="G39" s="39">
        <f t="shared" si="6"/>
        <v>857431.09193399886</v>
      </c>
      <c r="H39" s="52" t="str">
        <f t="shared" si="3"/>
        <v>B</v>
      </c>
      <c r="I39" s="52" t="str">
        <f>IF(AND(A39&lt;=years_B,'Income Comparison'!H39="A"),"Ok",IF(AND(A39&gt;years_B,H39="B"),"Ok","Check"))</f>
        <v>Ok</v>
      </c>
      <c r="J39" s="52" t="str">
        <f t="shared" si="4"/>
        <v>B</v>
      </c>
    </row>
    <row r="40" spans="1:10" x14ac:dyDescent="0.2">
      <c r="A40" s="23">
        <v>35</v>
      </c>
      <c r="B40" s="61">
        <f>'Loan Schedule A'!C38-'Loan Schedule A'!F38</f>
        <v>90760.789878163981</v>
      </c>
      <c r="C40" s="38">
        <f t="shared" si="1"/>
        <v>38719.069415871963</v>
      </c>
      <c r="D40" s="62">
        <f t="shared" si="5"/>
        <v>873924.71072258416</v>
      </c>
      <c r="E40" s="38">
        <f>'Loan Schedule B'!C38-'Loan Schedule B'!F38</f>
        <v>102903.38988453966</v>
      </c>
      <c r="F40" s="38">
        <f t="shared" si="2"/>
        <v>43899.171673324221</v>
      </c>
      <c r="G40" s="39">
        <f t="shared" si="6"/>
        <v>901330.26360732305</v>
      </c>
      <c r="H40" s="52" t="str">
        <f t="shared" si="3"/>
        <v>B</v>
      </c>
      <c r="I40" s="52" t="str">
        <f>IF(AND(A40&lt;=years_B,'Income Comparison'!H40="A"),"Ok",IF(AND(A40&gt;years_B,H40="B"),"Ok","Check"))</f>
        <v>Ok</v>
      </c>
      <c r="J40" s="52" t="str">
        <f t="shared" si="4"/>
        <v>B</v>
      </c>
    </row>
    <row r="41" spans="1:10" x14ac:dyDescent="0.2">
      <c r="A41" s="23">
        <v>36</v>
      </c>
      <c r="B41" s="61">
        <f>'Loan Schedule A'!C39-'Loan Schedule A'!F39</f>
        <v>95298.829372072185</v>
      </c>
      <c r="C41" s="38">
        <f t="shared" si="1"/>
        <v>39663.436962600557</v>
      </c>
      <c r="D41" s="62">
        <f t="shared" si="5"/>
        <v>913588.14768518473</v>
      </c>
      <c r="E41" s="38">
        <f>'Loan Schedule B'!C39-'Loan Schedule B'!F39</f>
        <v>108048.55937876664</v>
      </c>
      <c r="F41" s="38">
        <f t="shared" si="2"/>
        <v>44969.883177551652</v>
      </c>
      <c r="G41" s="39">
        <f t="shared" si="6"/>
        <v>946300.14678487473</v>
      </c>
      <c r="H41" s="52" t="str">
        <f t="shared" si="3"/>
        <v>B</v>
      </c>
      <c r="I41" s="52" t="str">
        <f>IF(AND(A41&lt;=years_B,'Income Comparison'!H41="A"),"Ok",IF(AND(A41&gt;years_B,H41="B"),"Ok","Check"))</f>
        <v>Ok</v>
      </c>
      <c r="J41" s="52" t="str">
        <f t="shared" si="4"/>
        <v>B</v>
      </c>
    </row>
    <row r="42" spans="1:10" x14ac:dyDescent="0.2">
      <c r="A42" s="23">
        <v>37</v>
      </c>
      <c r="B42" s="61">
        <f>'Loan Schedule A'!C40-'Loan Schedule A'!F40</f>
        <v>100063.7708406758</v>
      </c>
      <c r="C42" s="38">
        <f t="shared" si="1"/>
        <v>40630.83786412741</v>
      </c>
      <c r="D42" s="62">
        <f t="shared" si="5"/>
        <v>954218.98554931208</v>
      </c>
      <c r="E42" s="38">
        <f>'Loan Schedule B'!C40-'Loan Schedule B'!F40</f>
        <v>113450.98734770498</v>
      </c>
      <c r="F42" s="38">
        <f t="shared" si="2"/>
        <v>46066.709596516332</v>
      </c>
      <c r="G42" s="39">
        <f t="shared" si="6"/>
        <v>992366.85638139106</v>
      </c>
      <c r="H42" s="52" t="str">
        <f t="shared" si="3"/>
        <v>B</v>
      </c>
      <c r="I42" s="52" t="str">
        <f>IF(AND(A42&lt;=years_B,'Income Comparison'!H42="A"),"Ok",IF(AND(A42&gt;years_B,H42="B"),"Ok","Check"))</f>
        <v>Ok</v>
      </c>
      <c r="J42" s="52" t="str">
        <f t="shared" si="4"/>
        <v>B</v>
      </c>
    </row>
    <row r="43" spans="1:10" x14ac:dyDescent="0.2">
      <c r="A43" s="23">
        <v>38</v>
      </c>
      <c r="B43" s="61">
        <f>'Loan Schedule A'!C41-'Loan Schedule A'!F41</f>
        <v>105066.9593827096</v>
      </c>
      <c r="C43" s="38">
        <f t="shared" si="1"/>
        <v>41621.833909593937</v>
      </c>
      <c r="D43" s="62">
        <f t="shared" si="5"/>
        <v>995840.81945890607</v>
      </c>
      <c r="E43" s="38">
        <f>'Loan Schedule B'!C41-'Loan Schedule B'!F41</f>
        <v>119123.53671509023</v>
      </c>
      <c r="F43" s="38">
        <f t="shared" si="2"/>
        <v>47190.287879358199</v>
      </c>
      <c r="G43" s="39">
        <f t="shared" si="6"/>
        <v>1039557.1442607492</v>
      </c>
      <c r="H43" s="52" t="str">
        <f t="shared" si="3"/>
        <v>B</v>
      </c>
      <c r="I43" s="52" t="str">
        <f>IF(AND(A43&lt;=years_B,'Income Comparison'!H43="A"),"Ok",IF(AND(A43&gt;years_B,H43="B"),"Ok","Check"))</f>
        <v>Ok</v>
      </c>
      <c r="J43" s="52" t="str">
        <f t="shared" si="4"/>
        <v>B</v>
      </c>
    </row>
    <row r="44" spans="1:10" x14ac:dyDescent="0.2">
      <c r="A44" s="23">
        <v>39</v>
      </c>
      <c r="B44" s="61">
        <f>'Loan Schedule A'!C42-'Loan Schedule A'!F42</f>
        <v>110320.30735184508</v>
      </c>
      <c r="C44" s="38">
        <f t="shared" si="1"/>
        <v>42637.000590315751</v>
      </c>
      <c r="D44" s="62">
        <f t="shared" si="5"/>
        <v>1038477.8200492219</v>
      </c>
      <c r="E44" s="38">
        <f>'Loan Schedule B'!C42-'Loan Schedule B'!F42</f>
        <v>125079.71355084475</v>
      </c>
      <c r="F44" s="38">
        <f t="shared" si="2"/>
        <v>48341.27051056207</v>
      </c>
      <c r="G44" s="39">
        <f t="shared" si="6"/>
        <v>1087898.4147713112</v>
      </c>
      <c r="H44" s="52" t="str">
        <f t="shared" si="3"/>
        <v>B</v>
      </c>
      <c r="I44" s="52" t="str">
        <f>IF(AND(A44&lt;=years_B,'Income Comparison'!H44="A"),"Ok",IF(AND(A44&gt;years_B,H44="B"),"Ok","Check"))</f>
        <v>Ok</v>
      </c>
      <c r="J44" s="52" t="str">
        <f t="shared" si="4"/>
        <v>B</v>
      </c>
    </row>
    <row r="45" spans="1:10" x14ac:dyDescent="0.2">
      <c r="A45" s="24">
        <v>40</v>
      </c>
      <c r="B45" s="63">
        <f>'Loan Schedule A'!C43-'Loan Schedule A'!F43</f>
        <v>115836.32271943735</v>
      </c>
      <c r="C45" s="40">
        <f t="shared" si="1"/>
        <v>43676.927433981989</v>
      </c>
      <c r="D45" s="64">
        <f t="shared" si="5"/>
        <v>1082154.7474832039</v>
      </c>
      <c r="E45" s="40">
        <f>'Loan Schedule B'!C43-'Loan Schedule B'!F43</f>
        <v>131333.69922838701</v>
      </c>
      <c r="F45" s="40">
        <f t="shared" si="2"/>
        <v>49520.325888868465</v>
      </c>
      <c r="G45" s="41">
        <f t="shared" si="6"/>
        <v>1137418.7406601796</v>
      </c>
      <c r="H45" s="52" t="str">
        <f t="shared" si="3"/>
        <v>B</v>
      </c>
      <c r="I45" s="52" t="str">
        <f>IF(AND(A45&lt;=years_B,'Income Comparison'!H45="A"),"Ok",IF(AND(A45&gt;years_B,H45="B"),"Ok","Check"))</f>
        <v>Ok</v>
      </c>
      <c r="J45" s="52" t="str">
        <f t="shared" si="4"/>
        <v>B</v>
      </c>
    </row>
  </sheetData>
  <mergeCells count="4">
    <mergeCell ref="H3:J3"/>
    <mergeCell ref="B4:D4"/>
    <mergeCell ref="E4:G4"/>
    <mergeCell ref="H4:I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61"/>
  <sheetViews>
    <sheetView workbookViewId="0"/>
  </sheetViews>
  <sheetFormatPr defaultRowHeight="12.75" x14ac:dyDescent="0.2"/>
  <cols>
    <col min="2" max="2" width="12.140625" bestFit="1" customWidth="1"/>
    <col min="3" max="3" width="12.140625" customWidth="1"/>
    <col min="4" max="4" width="11.42578125" bestFit="1" customWidth="1"/>
    <col min="5" max="5" width="10.28515625" bestFit="1" customWidth="1"/>
    <col min="6" max="6" width="10.28515625" customWidth="1"/>
    <col min="7" max="7" width="11.42578125" bestFit="1" customWidth="1"/>
    <col min="8" max="8" width="10.28515625" bestFit="1" customWidth="1"/>
    <col min="9" max="9" width="10.28515625" customWidth="1"/>
    <col min="10" max="10" width="11.42578125" bestFit="1" customWidth="1"/>
    <col min="11" max="11" width="10.28515625" bestFit="1" customWidth="1"/>
    <col min="12" max="12" width="10.28515625" customWidth="1"/>
    <col min="15" max="15" width="18.28515625" customWidth="1"/>
    <col min="17" max="17" width="16.7109375" bestFit="1" customWidth="1"/>
  </cols>
  <sheetData>
    <row r="1" spans="1:18" s="11" customFormat="1" ht="13.5" thickBot="1" x14ac:dyDescent="0.25">
      <c r="A1" s="33" t="s">
        <v>5</v>
      </c>
    </row>
    <row r="2" spans="1:18" ht="13.5" thickBot="1" x14ac:dyDescent="0.25">
      <c r="J2" s="95" t="s">
        <v>60</v>
      </c>
      <c r="K2" s="81">
        <v>0.11307523000951916</v>
      </c>
      <c r="L2" s="86"/>
    </row>
    <row r="3" spans="1:18" x14ac:dyDescent="0.2">
      <c r="D3" s="102" t="s">
        <v>25</v>
      </c>
      <c r="E3" s="103"/>
      <c r="F3" s="104"/>
      <c r="G3" s="105" t="s">
        <v>42</v>
      </c>
      <c r="H3" s="106"/>
      <c r="I3" s="107"/>
      <c r="J3" s="105" t="s">
        <v>59</v>
      </c>
      <c r="K3" s="108"/>
      <c r="L3" s="107"/>
    </row>
    <row r="4" spans="1:18" x14ac:dyDescent="0.2">
      <c r="A4" s="22" t="s">
        <v>3</v>
      </c>
      <c r="B4" s="47" t="s">
        <v>6</v>
      </c>
      <c r="C4" s="20" t="s">
        <v>2</v>
      </c>
      <c r="D4" s="47" t="s">
        <v>5</v>
      </c>
      <c r="E4" s="20" t="s">
        <v>15</v>
      </c>
      <c r="F4" s="20" t="s">
        <v>19</v>
      </c>
      <c r="G4" s="47" t="s">
        <v>56</v>
      </c>
      <c r="H4" s="20" t="s">
        <v>15</v>
      </c>
      <c r="I4" s="21" t="s">
        <v>19</v>
      </c>
      <c r="J4" s="20" t="s">
        <v>56</v>
      </c>
      <c r="K4" s="20" t="s">
        <v>15</v>
      </c>
      <c r="L4" s="21" t="s">
        <v>19</v>
      </c>
      <c r="O4" s="92" t="s">
        <v>47</v>
      </c>
      <c r="P4" s="21"/>
      <c r="Q4" s="22" t="s">
        <v>48</v>
      </c>
    </row>
    <row r="5" spans="1:18" x14ac:dyDescent="0.2">
      <c r="A5" s="23">
        <v>1</v>
      </c>
      <c r="B5" s="28" t="str">
        <f>'Loan Schedule B'!B4</f>
        <v>Yes</v>
      </c>
      <c r="C5" s="38">
        <f>'Loan Schedule B'!C4</f>
        <v>0</v>
      </c>
      <c r="D5" s="89">
        <f>'Loan Schedule B'!F4</f>
        <v>0</v>
      </c>
      <c r="E5" s="26">
        <f t="shared" ref="E5:E44" si="0">D5/(1+infl)^(A5-0.5)</f>
        <v>0</v>
      </c>
      <c r="F5" s="90">
        <f>E5</f>
        <v>0</v>
      </c>
      <c r="G5" s="82">
        <f t="shared" ref="G5:G44" si="1">IF(B5="Yes",0,IF(age+A5-1&lt;max_age,percent*C5,0))</f>
        <v>0</v>
      </c>
      <c r="H5" s="38">
        <f t="shared" ref="H5:H44" si="2">G5/(1+infl)^(A5-0.5)</f>
        <v>0</v>
      </c>
      <c r="I5" s="91">
        <f>H5</f>
        <v>0</v>
      </c>
      <c r="J5" s="61">
        <f t="shared" ref="J5:J44" si="3">IF(B5="Yes",0,IF(age+A5-1&lt;max_age,target_percent*C5,0))</f>
        <v>0</v>
      </c>
      <c r="K5" s="38">
        <f t="shared" ref="K5:K44" si="4">J5/(1+infl)^(A5-0.5)</f>
        <v>0</v>
      </c>
      <c r="L5" s="91">
        <f>K5</f>
        <v>0</v>
      </c>
      <c r="O5" s="45" t="s">
        <v>25</v>
      </c>
      <c r="P5" s="85">
        <f>SUM(E5:E44)</f>
        <v>47600.68169979201</v>
      </c>
      <c r="Q5" s="84"/>
    </row>
    <row r="6" spans="1:18" x14ac:dyDescent="0.2">
      <c r="A6" s="23">
        <v>2</v>
      </c>
      <c r="B6" s="28" t="str">
        <f>'Loan Schedule B'!B5</f>
        <v>Yes</v>
      </c>
      <c r="C6" s="6">
        <f>'Loan Schedule B'!C5</f>
        <v>0</v>
      </c>
      <c r="D6" s="55">
        <f>'Loan Schedule B'!F5</f>
        <v>0</v>
      </c>
      <c r="E6" s="6">
        <f t="shared" si="0"/>
        <v>0</v>
      </c>
      <c r="F6" s="7">
        <f>E6+F5</f>
        <v>0</v>
      </c>
      <c r="G6" s="82">
        <f t="shared" si="1"/>
        <v>0</v>
      </c>
      <c r="H6" s="38">
        <f t="shared" si="2"/>
        <v>0</v>
      </c>
      <c r="I6" s="7">
        <f>H6+I5</f>
        <v>0</v>
      </c>
      <c r="J6" s="61">
        <f t="shared" si="3"/>
        <v>0</v>
      </c>
      <c r="K6" s="38">
        <f t="shared" si="4"/>
        <v>0</v>
      </c>
      <c r="L6" s="7">
        <f>K6+L5</f>
        <v>0</v>
      </c>
      <c r="O6" s="23" t="s">
        <v>42</v>
      </c>
      <c r="P6" s="82">
        <f>SUM(H5:H44)</f>
        <v>33677.177005634061</v>
      </c>
      <c r="Q6" s="84"/>
    </row>
    <row r="7" spans="1:18" x14ac:dyDescent="0.2">
      <c r="A7" s="23">
        <v>3</v>
      </c>
      <c r="B7" s="28" t="str">
        <f>'Loan Schedule B'!B6</f>
        <v>Yes</v>
      </c>
      <c r="C7" s="6">
        <f>'Loan Schedule B'!C6</f>
        <v>0</v>
      </c>
      <c r="D7" s="55">
        <f>'Loan Schedule B'!F6</f>
        <v>0</v>
      </c>
      <c r="E7" s="6">
        <f t="shared" si="0"/>
        <v>0</v>
      </c>
      <c r="F7" s="7">
        <f t="shared" ref="F7:F44" si="5">E7+F6</f>
        <v>0</v>
      </c>
      <c r="G7" s="82">
        <f t="shared" si="1"/>
        <v>0</v>
      </c>
      <c r="H7" s="38">
        <f t="shared" si="2"/>
        <v>0</v>
      </c>
      <c r="I7" s="7">
        <f t="shared" ref="I7:I44" si="6">H7+I6</f>
        <v>0</v>
      </c>
      <c r="J7" s="61">
        <f t="shared" si="3"/>
        <v>0</v>
      </c>
      <c r="K7" s="38">
        <f t="shared" si="4"/>
        <v>0</v>
      </c>
      <c r="L7" s="7">
        <f t="shared" ref="L7:L44" si="7">K7+L6</f>
        <v>0</v>
      </c>
      <c r="O7" s="24" t="s">
        <v>59</v>
      </c>
      <c r="P7" s="83">
        <f>SUM(K5:K44)</f>
        <v>47600.681699792025</v>
      </c>
      <c r="Q7" s="96">
        <f>P7-P5</f>
        <v>0</v>
      </c>
      <c r="R7" s="94" t="str">
        <f>IF(ROUND(Q7,2)=0,"Goal seek ok", "Re-run goal seek")</f>
        <v>Goal seek ok</v>
      </c>
    </row>
    <row r="8" spans="1:18" x14ac:dyDescent="0.2">
      <c r="A8" s="23">
        <v>4</v>
      </c>
      <c r="B8" s="28" t="str">
        <f>'Loan Schedule B'!B7</f>
        <v>Yes</v>
      </c>
      <c r="C8" s="6">
        <f>'Loan Schedule B'!C7</f>
        <v>0</v>
      </c>
      <c r="D8" s="55">
        <f>'Loan Schedule B'!F7</f>
        <v>0</v>
      </c>
      <c r="E8" s="6">
        <f t="shared" si="0"/>
        <v>0</v>
      </c>
      <c r="F8" s="7">
        <f t="shared" si="5"/>
        <v>0</v>
      </c>
      <c r="G8" s="82">
        <f t="shared" si="1"/>
        <v>0</v>
      </c>
      <c r="H8" s="38">
        <f t="shared" si="2"/>
        <v>0</v>
      </c>
      <c r="I8" s="7">
        <f t="shared" si="6"/>
        <v>0</v>
      </c>
      <c r="J8" s="61">
        <f t="shared" si="3"/>
        <v>0</v>
      </c>
      <c r="K8" s="38">
        <f t="shared" si="4"/>
        <v>0</v>
      </c>
      <c r="L8" s="7">
        <f t="shared" si="7"/>
        <v>0</v>
      </c>
    </row>
    <row r="9" spans="1:18" x14ac:dyDescent="0.2">
      <c r="A9" s="23">
        <v>5</v>
      </c>
      <c r="B9" s="28" t="str">
        <f>'Loan Schedule B'!B8</f>
        <v>Yes</v>
      </c>
      <c r="C9" s="6">
        <f>'Loan Schedule B'!C8</f>
        <v>0</v>
      </c>
      <c r="D9" s="55">
        <f>'Loan Schedule B'!F8</f>
        <v>0</v>
      </c>
      <c r="E9" s="6">
        <f t="shared" si="0"/>
        <v>0</v>
      </c>
      <c r="F9" s="7">
        <f t="shared" si="5"/>
        <v>0</v>
      </c>
      <c r="G9" s="82">
        <f t="shared" si="1"/>
        <v>0</v>
      </c>
      <c r="H9" s="38">
        <f t="shared" si="2"/>
        <v>0</v>
      </c>
      <c r="I9" s="7">
        <f t="shared" si="6"/>
        <v>0</v>
      </c>
      <c r="J9" s="61">
        <f t="shared" si="3"/>
        <v>0</v>
      </c>
      <c r="K9" s="38">
        <f t="shared" si="4"/>
        <v>0</v>
      </c>
      <c r="L9" s="7">
        <f t="shared" si="7"/>
        <v>0</v>
      </c>
      <c r="O9" s="93" t="s">
        <v>49</v>
      </c>
    </row>
    <row r="10" spans="1:18" x14ac:dyDescent="0.2">
      <c r="A10" s="23">
        <v>6</v>
      </c>
      <c r="B10" s="28" t="str">
        <f>'Loan Schedule B'!B9</f>
        <v>No</v>
      </c>
      <c r="C10" s="6">
        <f>'Loan Schedule B'!C9</f>
        <v>25000</v>
      </c>
      <c r="D10" s="55">
        <f>'Loan Schedule B'!F9</f>
        <v>1000</v>
      </c>
      <c r="E10" s="6">
        <f t="shared" si="0"/>
        <v>873.00903899755895</v>
      </c>
      <c r="F10" s="7">
        <f t="shared" si="5"/>
        <v>873.00903899755895</v>
      </c>
      <c r="G10" s="82">
        <f t="shared" si="1"/>
        <v>2000</v>
      </c>
      <c r="H10" s="38">
        <f t="shared" si="2"/>
        <v>1746.0180779951179</v>
      </c>
      <c r="I10" s="7">
        <f t="shared" si="6"/>
        <v>1746.0180779951179</v>
      </c>
      <c r="J10" s="61">
        <f t="shared" si="3"/>
        <v>2826.8807502379791</v>
      </c>
      <c r="K10" s="38">
        <f t="shared" si="4"/>
        <v>2467.8924471259566</v>
      </c>
      <c r="L10" s="7">
        <f t="shared" si="7"/>
        <v>2467.8924471259566</v>
      </c>
      <c r="O10" t="s">
        <v>50</v>
      </c>
      <c r="P10" t="s">
        <v>51</v>
      </c>
    </row>
    <row r="11" spans="1:18" x14ac:dyDescent="0.2">
      <c r="A11" s="23">
        <v>7</v>
      </c>
      <c r="B11" s="28" t="str">
        <f>'Loan Schedule B'!B10</f>
        <v>No</v>
      </c>
      <c r="C11" s="6">
        <f>'Loan Schedule B'!C10</f>
        <v>26250</v>
      </c>
      <c r="D11" s="55">
        <f>'Loan Schedule B'!F10</f>
        <v>1125</v>
      </c>
      <c r="E11" s="6">
        <f t="shared" si="0"/>
        <v>958.1806525582964</v>
      </c>
      <c r="F11" s="7">
        <f t="shared" si="5"/>
        <v>1831.1896915558555</v>
      </c>
      <c r="G11" s="82">
        <f t="shared" si="1"/>
        <v>2100</v>
      </c>
      <c r="H11" s="38">
        <f t="shared" si="2"/>
        <v>1788.6038847754867</v>
      </c>
      <c r="I11" s="7">
        <f t="shared" si="6"/>
        <v>3534.6219627706046</v>
      </c>
      <c r="J11" s="61">
        <f t="shared" si="3"/>
        <v>2968.224787749878</v>
      </c>
      <c r="K11" s="38">
        <f t="shared" si="4"/>
        <v>2528.0849458363459</v>
      </c>
      <c r="L11" s="7">
        <f t="shared" si="7"/>
        <v>4995.9773929623025</v>
      </c>
      <c r="O11" t="s">
        <v>52</v>
      </c>
      <c r="P11" t="s">
        <v>53</v>
      </c>
    </row>
    <row r="12" spans="1:18" x14ac:dyDescent="0.2">
      <c r="A12" s="23">
        <v>8</v>
      </c>
      <c r="B12" s="28" t="str">
        <f>'Loan Schedule B'!B11</f>
        <v>No</v>
      </c>
      <c r="C12" s="6">
        <f>'Loan Schedule B'!C11</f>
        <v>27562.5</v>
      </c>
      <c r="D12" s="55">
        <f>'Loan Schedule B'!F11</f>
        <v>1256.25</v>
      </c>
      <c r="E12" s="6">
        <f t="shared" si="0"/>
        <v>1043.8716052261116</v>
      </c>
      <c r="F12" s="7">
        <f t="shared" si="5"/>
        <v>2875.061296781967</v>
      </c>
      <c r="G12" s="82">
        <f t="shared" si="1"/>
        <v>2205</v>
      </c>
      <c r="H12" s="38">
        <f t="shared" si="2"/>
        <v>1832.2283697700109</v>
      </c>
      <c r="I12" s="7">
        <f t="shared" si="6"/>
        <v>5366.8503325406155</v>
      </c>
      <c r="J12" s="61">
        <f t="shared" si="3"/>
        <v>3116.6360271373719</v>
      </c>
      <c r="K12" s="38">
        <f t="shared" si="4"/>
        <v>2589.7455542713788</v>
      </c>
      <c r="L12" s="7">
        <f t="shared" si="7"/>
        <v>7585.7229472336812</v>
      </c>
      <c r="O12" t="s">
        <v>54</v>
      </c>
      <c r="P12" t="s">
        <v>55</v>
      </c>
      <c r="Q12" t="s">
        <v>61</v>
      </c>
    </row>
    <row r="13" spans="1:18" x14ac:dyDescent="0.2">
      <c r="A13" s="23">
        <v>9</v>
      </c>
      <c r="B13" s="28" t="str">
        <f>'Loan Schedule B'!B12</f>
        <v>No</v>
      </c>
      <c r="C13" s="6">
        <f>'Loan Schedule B'!C12</f>
        <v>28940.625</v>
      </c>
      <c r="D13" s="55">
        <f>'Loan Schedule B'!F12</f>
        <v>1394.0625</v>
      </c>
      <c r="E13" s="6">
        <f t="shared" si="0"/>
        <v>1130.1325642309635</v>
      </c>
      <c r="F13" s="7">
        <f t="shared" si="5"/>
        <v>4005.1938610129305</v>
      </c>
      <c r="G13" s="82">
        <f t="shared" si="1"/>
        <v>2315.25</v>
      </c>
      <c r="H13" s="38">
        <f t="shared" si="2"/>
        <v>1876.91686659367</v>
      </c>
      <c r="I13" s="7">
        <f t="shared" si="6"/>
        <v>7243.767199134285</v>
      </c>
      <c r="J13" s="61">
        <f t="shared" si="3"/>
        <v>3272.4678284942406</v>
      </c>
      <c r="K13" s="38">
        <f t="shared" si="4"/>
        <v>2652.9100799853154</v>
      </c>
      <c r="L13" s="7">
        <f t="shared" si="7"/>
        <v>10238.633027218997</v>
      </c>
    </row>
    <row r="14" spans="1:18" x14ac:dyDescent="0.2">
      <c r="A14" s="23">
        <v>10</v>
      </c>
      <c r="B14" s="28" t="str">
        <f>'Loan Schedule B'!B13</f>
        <v>No</v>
      </c>
      <c r="C14" s="6">
        <f>'Loan Schedule B'!C13</f>
        <v>30387.65625</v>
      </c>
      <c r="D14" s="55">
        <f>'Loan Schedule B'!F13</f>
        <v>1538.765625</v>
      </c>
      <c r="E14" s="6">
        <f t="shared" si="0"/>
        <v>1217.0145057493344</v>
      </c>
      <c r="F14" s="7">
        <f t="shared" si="5"/>
        <v>5222.2083667622646</v>
      </c>
      <c r="G14" s="82">
        <f t="shared" si="1"/>
        <v>2431.0125000000003</v>
      </c>
      <c r="H14" s="38">
        <f t="shared" si="2"/>
        <v>1922.6953267544914</v>
      </c>
      <c r="I14" s="7">
        <f t="shared" si="6"/>
        <v>9166.4625258887754</v>
      </c>
      <c r="J14" s="61">
        <f t="shared" si="3"/>
        <v>3436.0912199189524</v>
      </c>
      <c r="K14" s="38">
        <f t="shared" si="4"/>
        <v>2717.6152038873961</v>
      </c>
      <c r="L14" s="7">
        <f t="shared" si="7"/>
        <v>12956.248231106394</v>
      </c>
    </row>
    <row r="15" spans="1:18" x14ac:dyDescent="0.2">
      <c r="A15" s="23">
        <v>11</v>
      </c>
      <c r="B15" s="28" t="str">
        <f>'Loan Schedule B'!B14</f>
        <v>No</v>
      </c>
      <c r="C15" s="6">
        <f>'Loan Schedule B'!C14</f>
        <v>31907.0390625</v>
      </c>
      <c r="D15" s="55">
        <f>'Loan Schedule B'!F14</f>
        <v>1690.70390625</v>
      </c>
      <c r="E15" s="6">
        <f t="shared" si="0"/>
        <v>1304.5687450453565</v>
      </c>
      <c r="F15" s="7">
        <f t="shared" si="5"/>
        <v>6526.7771118076216</v>
      </c>
      <c r="G15" s="82">
        <f t="shared" si="1"/>
        <v>2552.5631250000001</v>
      </c>
      <c r="H15" s="38">
        <f t="shared" si="2"/>
        <v>1969.5903347241135</v>
      </c>
      <c r="I15" s="7">
        <f t="shared" si="6"/>
        <v>11136.052860612888</v>
      </c>
      <c r="J15" s="61">
        <f t="shared" si="3"/>
        <v>3607.8957809149001</v>
      </c>
      <c r="K15" s="38">
        <f t="shared" si="4"/>
        <v>2783.8985015431867</v>
      </c>
      <c r="L15" s="7">
        <f t="shared" si="7"/>
        <v>15740.14673264958</v>
      </c>
    </row>
    <row r="16" spans="1:18" x14ac:dyDescent="0.2">
      <c r="A16" s="23">
        <v>12</v>
      </c>
      <c r="B16" s="28" t="str">
        <f>'Loan Schedule B'!B15</f>
        <v>No</v>
      </c>
      <c r="C16" s="6">
        <f>'Loan Schedule B'!C15</f>
        <v>33502.391015624999</v>
      </c>
      <c r="D16" s="55">
        <f>'Loan Schedule B'!F15</f>
        <v>1850.2391015624999</v>
      </c>
      <c r="E16" s="6">
        <f t="shared" si="0"/>
        <v>1392.8469667957204</v>
      </c>
      <c r="F16" s="7">
        <f t="shared" si="5"/>
        <v>7919.6240786033422</v>
      </c>
      <c r="G16" s="82">
        <f t="shared" si="1"/>
        <v>2680.19128125</v>
      </c>
      <c r="H16" s="38">
        <f t="shared" si="2"/>
        <v>2017.6291233759209</v>
      </c>
      <c r="I16" s="7">
        <f t="shared" si="6"/>
        <v>13153.681983988808</v>
      </c>
      <c r="J16" s="61">
        <f t="shared" si="3"/>
        <v>3788.2905699606449</v>
      </c>
      <c r="K16" s="38">
        <f t="shared" si="4"/>
        <v>2851.7984649954597</v>
      </c>
      <c r="L16" s="7">
        <f t="shared" si="7"/>
        <v>18591.94519764504</v>
      </c>
    </row>
    <row r="17" spans="1:12" x14ac:dyDescent="0.2">
      <c r="A17" s="23">
        <v>13</v>
      </c>
      <c r="B17" s="28" t="str">
        <f>'Loan Schedule B'!B16</f>
        <v>No</v>
      </c>
      <c r="C17" s="6">
        <f>'Loan Schedule B'!C16</f>
        <v>35177.51056640625</v>
      </c>
      <c r="D17" s="55">
        <f>'Loan Schedule B'!F16</f>
        <v>2017.7510566406252</v>
      </c>
      <c r="E17" s="6">
        <f t="shared" si="0"/>
        <v>1481.9012556163082</v>
      </c>
      <c r="F17" s="7">
        <f t="shared" si="5"/>
        <v>9401.5253342196502</v>
      </c>
      <c r="G17" s="82">
        <f t="shared" si="1"/>
        <v>2814.2008453125</v>
      </c>
      <c r="H17" s="38">
        <f t="shared" si="2"/>
        <v>2066.8395897997239</v>
      </c>
      <c r="I17" s="7">
        <f t="shared" si="6"/>
        <v>15220.521573788532</v>
      </c>
      <c r="J17" s="61">
        <f t="shared" si="3"/>
        <v>3977.7050984586776</v>
      </c>
      <c r="K17" s="38">
        <f t="shared" si="4"/>
        <v>2921.3545251173005</v>
      </c>
      <c r="L17" s="7">
        <f t="shared" si="7"/>
        <v>21513.299722762342</v>
      </c>
    </row>
    <row r="18" spans="1:12" x14ac:dyDescent="0.2">
      <c r="A18" s="23">
        <v>14</v>
      </c>
      <c r="B18" s="28" t="str">
        <f>'Loan Schedule B'!B17</f>
        <v>No</v>
      </c>
      <c r="C18" s="6">
        <f>'Loan Schedule B'!C17</f>
        <v>36936.386094726564</v>
      </c>
      <c r="D18" s="55">
        <f>'Loan Schedule B'!F17</f>
        <v>2193.6386094726563</v>
      </c>
      <c r="E18" s="6">
        <f t="shared" si="0"/>
        <v>1571.7841268085767</v>
      </c>
      <c r="F18" s="7">
        <f t="shared" si="5"/>
        <v>10973.309461028228</v>
      </c>
      <c r="G18" s="82">
        <f t="shared" si="1"/>
        <v>2954.9108875781253</v>
      </c>
      <c r="H18" s="38">
        <f t="shared" si="2"/>
        <v>2117.2503115021568</v>
      </c>
      <c r="I18" s="7">
        <f t="shared" si="6"/>
        <v>17337.771885290687</v>
      </c>
      <c r="J18" s="61">
        <f t="shared" si="3"/>
        <v>4176.5903533816117</v>
      </c>
      <c r="K18" s="38">
        <f t="shared" si="4"/>
        <v>2992.6070745104062</v>
      </c>
      <c r="L18" s="7">
        <f t="shared" si="7"/>
        <v>24505.90679727275</v>
      </c>
    </row>
    <row r="19" spans="1:12" x14ac:dyDescent="0.2">
      <c r="A19" s="23">
        <v>15</v>
      </c>
      <c r="B19" s="28" t="str">
        <f>'Loan Schedule B'!B18</f>
        <v>No</v>
      </c>
      <c r="C19" s="6">
        <f>'Loan Schedule B'!C18</f>
        <v>38783.205399462895</v>
      </c>
      <c r="D19" s="55">
        <f>'Loan Schedule B'!F18</f>
        <v>2378.3205399462895</v>
      </c>
      <c r="E19" s="6">
        <f t="shared" si="0"/>
        <v>1662.548557343865</v>
      </c>
      <c r="F19" s="7">
        <f t="shared" si="5"/>
        <v>12635.858018372093</v>
      </c>
      <c r="G19" s="82">
        <f t="shared" si="1"/>
        <v>3102.6564319570316</v>
      </c>
      <c r="H19" s="38">
        <f t="shared" si="2"/>
        <v>2168.8905630022095</v>
      </c>
      <c r="I19" s="7">
        <f t="shared" si="6"/>
        <v>19506.662448292896</v>
      </c>
      <c r="J19" s="61">
        <f t="shared" si="3"/>
        <v>4385.4198710506926</v>
      </c>
      <c r="K19" s="38">
        <f t="shared" si="4"/>
        <v>3065.5974909618794</v>
      </c>
      <c r="L19" s="7">
        <f t="shared" si="7"/>
        <v>27571.504288234628</v>
      </c>
    </row>
    <row r="20" spans="1:12" x14ac:dyDescent="0.2">
      <c r="A20" s="23">
        <v>16</v>
      </c>
      <c r="B20" s="28" t="str">
        <f>'Loan Schedule B'!B19</f>
        <v>No</v>
      </c>
      <c r="C20" s="6">
        <f>'Loan Schedule B'!C19</f>
        <v>40722.36566943604</v>
      </c>
      <c r="D20" s="55">
        <f>'Loan Schedule B'!F19</f>
        <v>2572.236566943604</v>
      </c>
      <c r="E20" s="6">
        <f t="shared" si="0"/>
        <v>1754.2480171039058</v>
      </c>
      <c r="F20" s="7">
        <f t="shared" si="5"/>
        <v>14390.106035475999</v>
      </c>
      <c r="G20" s="82">
        <f t="shared" si="1"/>
        <v>3257.7892535548831</v>
      </c>
      <c r="H20" s="38">
        <f t="shared" si="2"/>
        <v>2221.7903328315319</v>
      </c>
      <c r="I20" s="7">
        <f t="shared" si="6"/>
        <v>21728.45278112443</v>
      </c>
      <c r="J20" s="61">
        <f t="shared" si="3"/>
        <v>4604.6908646032271</v>
      </c>
      <c r="K20" s="38">
        <f t="shared" si="4"/>
        <v>3140.3681614731454</v>
      </c>
      <c r="L20" s="7">
        <f t="shared" si="7"/>
        <v>30711.872449707775</v>
      </c>
    </row>
    <row r="21" spans="1:12" x14ac:dyDescent="0.2">
      <c r="A21" s="23">
        <v>17</v>
      </c>
      <c r="B21" s="28" t="str">
        <f>'Loan Schedule B'!B20</f>
        <v>No</v>
      </c>
      <c r="C21" s="6">
        <f>'Loan Schedule B'!C20</f>
        <v>42758.483952907845</v>
      </c>
      <c r="D21" s="55">
        <f>'Loan Schedule B'!F20</f>
        <v>2775.8483952907845</v>
      </c>
      <c r="E21" s="6">
        <f t="shared" si="0"/>
        <v>1846.9365003959776</v>
      </c>
      <c r="F21" s="7">
        <f t="shared" si="5"/>
        <v>16237.042535871977</v>
      </c>
      <c r="G21" s="82">
        <f t="shared" si="1"/>
        <v>3420.6787162326277</v>
      </c>
      <c r="H21" s="38">
        <f t="shared" si="2"/>
        <v>2275.9803409493747</v>
      </c>
      <c r="I21" s="7">
        <f t="shared" si="6"/>
        <v>24004.433122073806</v>
      </c>
      <c r="J21" s="61">
        <f t="shared" si="3"/>
        <v>4834.9254078333888</v>
      </c>
      <c r="K21" s="38">
        <f t="shared" si="4"/>
        <v>3216.9625068749301</v>
      </c>
      <c r="L21" s="7">
        <f t="shared" si="7"/>
        <v>33928.834956582708</v>
      </c>
    </row>
    <row r="22" spans="1:12" x14ac:dyDescent="0.2">
      <c r="A22" s="23">
        <v>18</v>
      </c>
      <c r="B22" s="28" t="str">
        <f>'Loan Schedule B'!B21</f>
        <v>No</v>
      </c>
      <c r="C22" s="6">
        <f>'Loan Schedule B'!C21</f>
        <v>44896.408150553238</v>
      </c>
      <c r="D22" s="55">
        <f>'Loan Schedule B'!F21</f>
        <v>2989.6408150553239</v>
      </c>
      <c r="E22" s="6">
        <f t="shared" si="0"/>
        <v>1940.6685577612818</v>
      </c>
      <c r="F22" s="7">
        <f t="shared" si="5"/>
        <v>18177.711093633257</v>
      </c>
      <c r="G22" s="82">
        <f t="shared" si="1"/>
        <v>3591.7126520442589</v>
      </c>
      <c r="H22" s="38">
        <f t="shared" si="2"/>
        <v>2331.4920565822863</v>
      </c>
      <c r="I22" s="7">
        <f t="shared" si="6"/>
        <v>26335.925178656093</v>
      </c>
      <c r="J22" s="61">
        <f t="shared" si="3"/>
        <v>5076.6716782250578</v>
      </c>
      <c r="K22" s="38">
        <f t="shared" si="4"/>
        <v>3295.4250070426115</v>
      </c>
      <c r="L22" s="7">
        <f t="shared" si="7"/>
        <v>37224.259963625322</v>
      </c>
    </row>
    <row r="23" spans="1:12" x14ac:dyDescent="0.2">
      <c r="A23" s="23">
        <v>19</v>
      </c>
      <c r="B23" s="28" t="str">
        <f>'Loan Schedule B'!B22</f>
        <v>No</v>
      </c>
      <c r="C23" s="6">
        <f>'Loan Schedule B'!C22</f>
        <v>47141.228558080904</v>
      </c>
      <c r="D23" s="55">
        <f>'Loan Schedule B'!F22</f>
        <v>3214.1228558080907</v>
      </c>
      <c r="E23" s="6">
        <f t="shared" si="0"/>
        <v>2035.4993280952929</v>
      </c>
      <c r="F23" s="7">
        <f t="shared" si="5"/>
        <v>20213.210421728549</v>
      </c>
      <c r="G23" s="82">
        <f t="shared" si="1"/>
        <v>3771.2982846464724</v>
      </c>
      <c r="H23" s="38">
        <f t="shared" si="2"/>
        <v>2388.3577164989283</v>
      </c>
      <c r="I23" s="7">
        <f t="shared" si="6"/>
        <v>28724.282895155022</v>
      </c>
      <c r="J23" s="61">
        <f t="shared" si="3"/>
        <v>5330.505262136312</v>
      </c>
      <c r="K23" s="38">
        <f t="shared" si="4"/>
        <v>3375.8012267265785</v>
      </c>
      <c r="L23" s="7">
        <f t="shared" si="7"/>
        <v>40600.061190351902</v>
      </c>
    </row>
    <row r="24" spans="1:12" x14ac:dyDescent="0.2">
      <c r="A24" s="23">
        <v>20</v>
      </c>
      <c r="B24" s="28" t="str">
        <f>'Loan Schedule B'!B23</f>
        <v>No</v>
      </c>
      <c r="C24" s="6">
        <f>'Loan Schedule B'!C23</f>
        <v>49498.289985984949</v>
      </c>
      <c r="D24" s="55">
        <f>'Loan Schedule B'!F23</f>
        <v>3449.8289985984952</v>
      </c>
      <c r="E24" s="6">
        <f t="shared" si="0"/>
        <v>2131.4845710990012</v>
      </c>
      <c r="F24" s="7">
        <f t="shared" si="5"/>
        <v>22344.69499282755</v>
      </c>
      <c r="G24" s="82">
        <f t="shared" si="1"/>
        <v>3959.8631988787961</v>
      </c>
      <c r="H24" s="38">
        <f t="shared" si="2"/>
        <v>2446.6103437306097</v>
      </c>
      <c r="I24" s="7">
        <f t="shared" si="6"/>
        <v>31170.89323888563</v>
      </c>
      <c r="J24" s="61">
        <f t="shared" si="3"/>
        <v>5597.0305252431272</v>
      </c>
      <c r="K24" s="38">
        <f t="shared" si="4"/>
        <v>3458.1378420125925</v>
      </c>
      <c r="L24" s="7">
        <f t="shared" si="7"/>
        <v>44058.199032364493</v>
      </c>
    </row>
    <row r="25" spans="1:12" x14ac:dyDescent="0.2">
      <c r="A25" s="23">
        <v>21</v>
      </c>
      <c r="B25" s="28" t="str">
        <f>'Loan Schedule B'!B24</f>
        <v>No</v>
      </c>
      <c r="C25" s="6">
        <f>'Loan Schedule B'!C24</f>
        <v>51973.204485284201</v>
      </c>
      <c r="D25" s="55">
        <f>'Loan Schedule B'!F24</f>
        <v>3697.3204485284205</v>
      </c>
      <c r="E25" s="6">
        <f t="shared" si="0"/>
        <v>2228.6807000801609</v>
      </c>
      <c r="F25" s="7">
        <f t="shared" si="5"/>
        <v>24573.37569290771</v>
      </c>
      <c r="G25" s="82">
        <f t="shared" si="1"/>
        <v>4157.8563588227362</v>
      </c>
      <c r="H25" s="38">
        <f t="shared" si="2"/>
        <v>2506.28376674843</v>
      </c>
      <c r="I25" s="7">
        <f t="shared" si="6"/>
        <v>33677.177005634061</v>
      </c>
      <c r="J25" s="61">
        <f t="shared" si="3"/>
        <v>5876.8820515052839</v>
      </c>
      <c r="K25" s="38">
        <f t="shared" si="4"/>
        <v>3542.4826674275346</v>
      </c>
      <c r="L25" s="7">
        <f t="shared" si="7"/>
        <v>47600.681699792025</v>
      </c>
    </row>
    <row r="26" spans="1:12" x14ac:dyDescent="0.2">
      <c r="A26" s="23">
        <v>22</v>
      </c>
      <c r="B26" s="28" t="str">
        <f>'Loan Schedule B'!B25</f>
        <v>No</v>
      </c>
      <c r="C26" s="6">
        <f>'Loan Schedule B'!C25</f>
        <v>54571.864709548412</v>
      </c>
      <c r="D26" s="55">
        <f>'Loan Schedule B'!F25</f>
        <v>3957.1864709548413</v>
      </c>
      <c r="E26" s="6">
        <f t="shared" si="0"/>
        <v>2327.1448151238415</v>
      </c>
      <c r="F26" s="7">
        <f t="shared" si="5"/>
        <v>26900.52050803155</v>
      </c>
      <c r="G26" s="82">
        <f>IF(B26="Yes",0,IF(age+A26-1&lt;max_age,percent*C26,0))</f>
        <v>0</v>
      </c>
      <c r="H26" s="38">
        <f t="shared" si="2"/>
        <v>0</v>
      </c>
      <c r="I26" s="7">
        <f t="shared" si="6"/>
        <v>33677.177005634061</v>
      </c>
      <c r="J26" s="61">
        <f>IF(B26="Yes",0,IF(age+A26-1&lt;max_age,target_percent*C26,0))</f>
        <v>0</v>
      </c>
      <c r="K26" s="38">
        <f t="shared" si="4"/>
        <v>0</v>
      </c>
      <c r="L26" s="7">
        <f t="shared" si="7"/>
        <v>47600.681699792025</v>
      </c>
    </row>
    <row r="27" spans="1:12" x14ac:dyDescent="0.2">
      <c r="A27" s="23">
        <v>23</v>
      </c>
      <c r="B27" s="28" t="str">
        <f>'Loan Schedule B'!B26</f>
        <v>No</v>
      </c>
      <c r="C27" s="6">
        <f>'Loan Schedule B'!C26</f>
        <v>57300.457945025832</v>
      </c>
      <c r="D27" s="55">
        <f>'Loan Schedule B'!F26</f>
        <v>4230.0457945025837</v>
      </c>
      <c r="E27" s="6">
        <f t="shared" si="0"/>
        <v>2426.9347366518059</v>
      </c>
      <c r="F27" s="7">
        <f t="shared" si="5"/>
        <v>29327.455244683355</v>
      </c>
      <c r="G27" s="82">
        <f t="shared" si="1"/>
        <v>0</v>
      </c>
      <c r="H27" s="38">
        <f t="shared" si="2"/>
        <v>0</v>
      </c>
      <c r="I27" s="7">
        <f t="shared" si="6"/>
        <v>33677.177005634061</v>
      </c>
      <c r="J27" s="61">
        <f t="shared" si="3"/>
        <v>0</v>
      </c>
      <c r="K27" s="38">
        <f t="shared" si="4"/>
        <v>0</v>
      </c>
      <c r="L27" s="7">
        <f t="shared" si="7"/>
        <v>47600.681699792025</v>
      </c>
    </row>
    <row r="28" spans="1:12" x14ac:dyDescent="0.2">
      <c r="A28" s="23">
        <v>24</v>
      </c>
      <c r="B28" s="28" t="str">
        <f>'Loan Schedule B'!B27</f>
        <v>No</v>
      </c>
      <c r="C28" s="6">
        <f>'Loan Schedule B'!C27</f>
        <v>60165.480842277124</v>
      </c>
      <c r="D28" s="55">
        <f>'Loan Schedule B'!F27</f>
        <v>4516.5480842277129</v>
      </c>
      <c r="E28" s="6">
        <f t="shared" si="0"/>
        <v>2528.1090393904328</v>
      </c>
      <c r="F28" s="7">
        <f t="shared" si="5"/>
        <v>31855.564284073789</v>
      </c>
      <c r="G28" s="82">
        <f t="shared" si="1"/>
        <v>0</v>
      </c>
      <c r="H28" s="38">
        <f t="shared" si="2"/>
        <v>0</v>
      </c>
      <c r="I28" s="7">
        <f t="shared" si="6"/>
        <v>33677.177005634061</v>
      </c>
      <c r="J28" s="61">
        <f t="shared" si="3"/>
        <v>0</v>
      </c>
      <c r="K28" s="38">
        <f t="shared" si="4"/>
        <v>0</v>
      </c>
      <c r="L28" s="7">
        <f t="shared" si="7"/>
        <v>47600.681699792025</v>
      </c>
    </row>
    <row r="29" spans="1:12" x14ac:dyDescent="0.2">
      <c r="A29" s="23">
        <v>25</v>
      </c>
      <c r="B29" s="28" t="str">
        <f>'Loan Schedule B'!B28</f>
        <v>No</v>
      </c>
      <c r="C29" s="6">
        <f>'Loan Schedule B'!C28</f>
        <v>63173.754884390983</v>
      </c>
      <c r="D29" s="55">
        <f>'Loan Schedule B'!F28</f>
        <v>4817.3754884390983</v>
      </c>
      <c r="E29" s="6">
        <f t="shared" si="0"/>
        <v>2630.7270867671632</v>
      </c>
      <c r="F29" s="7">
        <f t="shared" si="5"/>
        <v>34486.291370840954</v>
      </c>
      <c r="G29" s="82">
        <f t="shared" si="1"/>
        <v>0</v>
      </c>
      <c r="H29" s="38">
        <f t="shared" si="2"/>
        <v>0</v>
      </c>
      <c r="I29" s="7">
        <f t="shared" si="6"/>
        <v>33677.177005634061</v>
      </c>
      <c r="J29" s="61">
        <f t="shared" si="3"/>
        <v>0</v>
      </c>
      <c r="K29" s="38">
        <f t="shared" si="4"/>
        <v>0</v>
      </c>
      <c r="L29" s="7">
        <f t="shared" si="7"/>
        <v>47600.681699792025</v>
      </c>
    </row>
    <row r="30" spans="1:12" x14ac:dyDescent="0.2">
      <c r="A30" s="23">
        <v>26</v>
      </c>
      <c r="B30" s="28" t="str">
        <f>'Loan Schedule B'!B29</f>
        <v>No</v>
      </c>
      <c r="C30" s="6">
        <f>'Loan Schedule B'!C29</f>
        <v>66332.44262861053</v>
      </c>
      <c r="D30" s="55">
        <f>'Loan Schedule B'!F29</f>
        <v>5133.2442628610534</v>
      </c>
      <c r="E30" s="6">
        <f t="shared" si="0"/>
        <v>2734.8490657556663</v>
      </c>
      <c r="F30" s="7">
        <f t="shared" si="5"/>
        <v>37221.140436596623</v>
      </c>
      <c r="G30" s="82">
        <f t="shared" si="1"/>
        <v>0</v>
      </c>
      <c r="H30" s="38">
        <f t="shared" si="2"/>
        <v>0</v>
      </c>
      <c r="I30" s="7">
        <f t="shared" si="6"/>
        <v>33677.177005634061</v>
      </c>
      <c r="J30" s="61">
        <f t="shared" si="3"/>
        <v>0</v>
      </c>
      <c r="K30" s="38">
        <f t="shared" si="4"/>
        <v>0</v>
      </c>
      <c r="L30" s="7">
        <f t="shared" si="7"/>
        <v>47600.681699792025</v>
      </c>
    </row>
    <row r="31" spans="1:12" x14ac:dyDescent="0.2">
      <c r="A31" s="23">
        <v>27</v>
      </c>
      <c r="B31" s="28" t="str">
        <f>'Loan Schedule B'!B30</f>
        <v>No</v>
      </c>
      <c r="C31" s="6">
        <f>'Loan Schedule B'!C30</f>
        <v>69649.064760041059</v>
      </c>
      <c r="D31" s="55">
        <f>'Loan Schedule B'!F30</f>
        <v>5464.9064760041065</v>
      </c>
      <c r="E31" s="6">
        <f t="shared" si="0"/>
        <v>2840.5360221901947</v>
      </c>
      <c r="F31" s="7">
        <f t="shared" si="5"/>
        <v>40061.676458786817</v>
      </c>
      <c r="G31" s="82">
        <f t="shared" si="1"/>
        <v>0</v>
      </c>
      <c r="H31" s="38">
        <f t="shared" si="2"/>
        <v>0</v>
      </c>
      <c r="I31" s="7">
        <f t="shared" si="6"/>
        <v>33677.177005634061</v>
      </c>
      <c r="J31" s="61">
        <f t="shared" si="3"/>
        <v>0</v>
      </c>
      <c r="K31" s="38">
        <f t="shared" si="4"/>
        <v>0</v>
      </c>
      <c r="L31" s="7">
        <f t="shared" si="7"/>
        <v>47600.681699792025</v>
      </c>
    </row>
    <row r="32" spans="1:12" x14ac:dyDescent="0.2">
      <c r="A32" s="23">
        <v>28</v>
      </c>
      <c r="B32" s="28" t="str">
        <f>'Loan Schedule B'!B31</f>
        <v>No</v>
      </c>
      <c r="C32" s="6">
        <f>'Loan Schedule B'!C31</f>
        <v>73131.517998043113</v>
      </c>
      <c r="D32" s="55">
        <f>'Loan Schedule B'!F31</f>
        <v>5813.1517998043118</v>
      </c>
      <c r="E32" s="6">
        <f t="shared" si="0"/>
        <v>2947.8498965698477</v>
      </c>
      <c r="F32" s="7">
        <f t="shared" si="5"/>
        <v>43009.526355356662</v>
      </c>
      <c r="G32" s="82">
        <f t="shared" si="1"/>
        <v>0</v>
      </c>
      <c r="H32" s="38">
        <f t="shared" si="2"/>
        <v>0</v>
      </c>
      <c r="I32" s="7">
        <f t="shared" si="6"/>
        <v>33677.177005634061</v>
      </c>
      <c r="J32" s="61">
        <f t="shared" si="3"/>
        <v>0</v>
      </c>
      <c r="K32" s="38">
        <f t="shared" si="4"/>
        <v>0</v>
      </c>
      <c r="L32" s="7">
        <f t="shared" si="7"/>
        <v>47600.681699792025</v>
      </c>
    </row>
    <row r="33" spans="1:12" x14ac:dyDescent="0.2">
      <c r="A33" s="23">
        <v>29</v>
      </c>
      <c r="B33" s="28" t="str">
        <f>'Loan Schedule B'!B32</f>
        <v>No</v>
      </c>
      <c r="C33" s="6">
        <f>'Loan Schedule B'!C32</f>
        <v>76788.093897945277</v>
      </c>
      <c r="D33" s="55">
        <f>'Loan Schedule B'!F32</f>
        <v>6178.8093897945282</v>
      </c>
      <c r="E33" s="6">
        <f t="shared" si="0"/>
        <v>3056.8535603737673</v>
      </c>
      <c r="F33" s="7">
        <f t="shared" si="5"/>
        <v>46066.379915730431</v>
      </c>
      <c r="G33" s="82">
        <f t="shared" si="1"/>
        <v>0</v>
      </c>
      <c r="H33" s="38">
        <f t="shared" si="2"/>
        <v>0</v>
      </c>
      <c r="I33" s="7">
        <f t="shared" si="6"/>
        <v>33677.177005634061</v>
      </c>
      <c r="J33" s="61">
        <f t="shared" si="3"/>
        <v>0</v>
      </c>
      <c r="K33" s="38">
        <f t="shared" si="4"/>
        <v>0</v>
      </c>
      <c r="L33" s="7">
        <f t="shared" si="7"/>
        <v>47600.681699792025</v>
      </c>
    </row>
    <row r="34" spans="1:12" x14ac:dyDescent="0.2">
      <c r="A34" s="23">
        <v>30</v>
      </c>
      <c r="B34" s="28" t="str">
        <f>'Loan Schedule B'!B33</f>
        <v>No</v>
      </c>
      <c r="C34" s="6">
        <f>'Loan Schedule B'!C33</f>
        <v>80627.498592842545</v>
      </c>
      <c r="D34" s="55">
        <f>'Loan Schedule B'!F33</f>
        <v>3178.8118190730474</v>
      </c>
      <c r="E34" s="6">
        <f t="shared" si="0"/>
        <v>1534.3017840615826</v>
      </c>
      <c r="F34" s="7">
        <f t="shared" si="5"/>
        <v>47600.68169979201</v>
      </c>
      <c r="G34" s="82">
        <f t="shared" si="1"/>
        <v>0</v>
      </c>
      <c r="H34" s="38">
        <f t="shared" si="2"/>
        <v>0</v>
      </c>
      <c r="I34" s="7">
        <f t="shared" si="6"/>
        <v>33677.177005634061</v>
      </c>
      <c r="J34" s="61">
        <f t="shared" si="3"/>
        <v>0</v>
      </c>
      <c r="K34" s="38">
        <f t="shared" si="4"/>
        <v>0</v>
      </c>
      <c r="L34" s="7">
        <f t="shared" si="7"/>
        <v>47600.681699792025</v>
      </c>
    </row>
    <row r="35" spans="1:12" x14ac:dyDescent="0.2">
      <c r="A35" s="23">
        <v>31</v>
      </c>
      <c r="B35" s="28" t="str">
        <f>'Loan Schedule B'!B34</f>
        <v>No</v>
      </c>
      <c r="C35" s="6">
        <f>'Loan Schedule B'!C34</f>
        <v>84658.873522484675</v>
      </c>
      <c r="D35" s="55">
        <f>'Loan Schedule B'!F34</f>
        <v>0</v>
      </c>
      <c r="E35" s="6">
        <f t="shared" si="0"/>
        <v>0</v>
      </c>
      <c r="F35" s="7">
        <f t="shared" si="5"/>
        <v>47600.68169979201</v>
      </c>
      <c r="G35" s="82">
        <f t="shared" si="1"/>
        <v>0</v>
      </c>
      <c r="H35" s="38">
        <f t="shared" si="2"/>
        <v>0</v>
      </c>
      <c r="I35" s="7">
        <f t="shared" si="6"/>
        <v>33677.177005634061</v>
      </c>
      <c r="J35" s="61">
        <f t="shared" si="3"/>
        <v>0</v>
      </c>
      <c r="K35" s="38">
        <f t="shared" si="4"/>
        <v>0</v>
      </c>
      <c r="L35" s="7">
        <f t="shared" si="7"/>
        <v>47600.681699792025</v>
      </c>
    </row>
    <row r="36" spans="1:12" x14ac:dyDescent="0.2">
      <c r="A36" s="23">
        <v>32</v>
      </c>
      <c r="B36" s="28" t="str">
        <f>'Loan Schedule B'!B35</f>
        <v>No</v>
      </c>
      <c r="C36" s="6">
        <f>'Loan Schedule B'!C35</f>
        <v>88891.817198608915</v>
      </c>
      <c r="D36" s="55">
        <f>'Loan Schedule B'!F35</f>
        <v>0</v>
      </c>
      <c r="E36" s="6">
        <f t="shared" si="0"/>
        <v>0</v>
      </c>
      <c r="F36" s="7">
        <f t="shared" si="5"/>
        <v>47600.68169979201</v>
      </c>
      <c r="G36" s="82">
        <f t="shared" si="1"/>
        <v>0</v>
      </c>
      <c r="H36" s="38">
        <f t="shared" si="2"/>
        <v>0</v>
      </c>
      <c r="I36" s="7">
        <f t="shared" si="6"/>
        <v>33677.177005634061</v>
      </c>
      <c r="J36" s="61">
        <f t="shared" si="3"/>
        <v>0</v>
      </c>
      <c r="K36" s="38">
        <f t="shared" si="4"/>
        <v>0</v>
      </c>
      <c r="L36" s="7">
        <f t="shared" si="7"/>
        <v>47600.681699792025</v>
      </c>
    </row>
    <row r="37" spans="1:12" x14ac:dyDescent="0.2">
      <c r="A37" s="23">
        <v>33</v>
      </c>
      <c r="B37" s="28" t="str">
        <f>'Loan Schedule B'!B36</f>
        <v>No</v>
      </c>
      <c r="C37" s="6">
        <f>'Loan Schedule B'!C36</f>
        <v>93336.408058539368</v>
      </c>
      <c r="D37" s="55">
        <f>'Loan Schedule B'!F36</f>
        <v>0</v>
      </c>
      <c r="E37" s="6">
        <f t="shared" si="0"/>
        <v>0</v>
      </c>
      <c r="F37" s="7">
        <f t="shared" si="5"/>
        <v>47600.68169979201</v>
      </c>
      <c r="G37" s="82">
        <f t="shared" si="1"/>
        <v>0</v>
      </c>
      <c r="H37" s="38">
        <f t="shared" si="2"/>
        <v>0</v>
      </c>
      <c r="I37" s="7">
        <f t="shared" si="6"/>
        <v>33677.177005634061</v>
      </c>
      <c r="J37" s="61">
        <f t="shared" si="3"/>
        <v>0</v>
      </c>
      <c r="K37" s="38">
        <f t="shared" si="4"/>
        <v>0</v>
      </c>
      <c r="L37" s="7">
        <f t="shared" si="7"/>
        <v>47600.681699792025</v>
      </c>
    </row>
    <row r="38" spans="1:12" x14ac:dyDescent="0.2">
      <c r="A38" s="23">
        <v>34</v>
      </c>
      <c r="B38" s="28" t="str">
        <f>'Loan Schedule B'!B37</f>
        <v>No</v>
      </c>
      <c r="C38" s="6">
        <f>'Loan Schedule B'!C37</f>
        <v>98003.228461466337</v>
      </c>
      <c r="D38" s="55">
        <f>'Loan Schedule B'!F37</f>
        <v>0</v>
      </c>
      <c r="E38" s="6">
        <f t="shared" si="0"/>
        <v>0</v>
      </c>
      <c r="F38" s="7">
        <f t="shared" si="5"/>
        <v>47600.68169979201</v>
      </c>
      <c r="G38" s="82">
        <f t="shared" si="1"/>
        <v>0</v>
      </c>
      <c r="H38" s="38">
        <f t="shared" si="2"/>
        <v>0</v>
      </c>
      <c r="I38" s="7">
        <f t="shared" si="6"/>
        <v>33677.177005634061</v>
      </c>
      <c r="J38" s="61">
        <f t="shared" si="3"/>
        <v>0</v>
      </c>
      <c r="K38" s="38">
        <f t="shared" si="4"/>
        <v>0</v>
      </c>
      <c r="L38" s="7">
        <f t="shared" si="7"/>
        <v>47600.681699792025</v>
      </c>
    </row>
    <row r="39" spans="1:12" x14ac:dyDescent="0.2">
      <c r="A39" s="23">
        <v>35</v>
      </c>
      <c r="B39" s="28" t="str">
        <f>'Loan Schedule B'!B38</f>
        <v>No</v>
      </c>
      <c r="C39" s="6">
        <f>'Loan Schedule B'!C38</f>
        <v>102903.38988453966</v>
      </c>
      <c r="D39" s="55">
        <f>'Loan Schedule B'!F38</f>
        <v>0</v>
      </c>
      <c r="E39" s="6">
        <f t="shared" si="0"/>
        <v>0</v>
      </c>
      <c r="F39" s="7">
        <f t="shared" si="5"/>
        <v>47600.68169979201</v>
      </c>
      <c r="G39" s="82">
        <f t="shared" si="1"/>
        <v>0</v>
      </c>
      <c r="H39" s="38">
        <f t="shared" si="2"/>
        <v>0</v>
      </c>
      <c r="I39" s="7">
        <f t="shared" si="6"/>
        <v>33677.177005634061</v>
      </c>
      <c r="J39" s="61">
        <f t="shared" si="3"/>
        <v>0</v>
      </c>
      <c r="K39" s="38">
        <f t="shared" si="4"/>
        <v>0</v>
      </c>
      <c r="L39" s="7">
        <f t="shared" si="7"/>
        <v>47600.681699792025</v>
      </c>
    </row>
    <row r="40" spans="1:12" x14ac:dyDescent="0.2">
      <c r="A40" s="23">
        <v>36</v>
      </c>
      <c r="B40" s="28" t="str">
        <f>'Loan Schedule B'!B39</f>
        <v>No</v>
      </c>
      <c r="C40" s="6">
        <f>'Loan Schedule B'!C39</f>
        <v>108048.55937876664</v>
      </c>
      <c r="D40" s="55">
        <f>'Loan Schedule B'!F39</f>
        <v>0</v>
      </c>
      <c r="E40" s="6">
        <f t="shared" si="0"/>
        <v>0</v>
      </c>
      <c r="F40" s="7">
        <f t="shared" si="5"/>
        <v>47600.68169979201</v>
      </c>
      <c r="G40" s="82">
        <f t="shared" si="1"/>
        <v>0</v>
      </c>
      <c r="H40" s="38">
        <f t="shared" si="2"/>
        <v>0</v>
      </c>
      <c r="I40" s="7">
        <f t="shared" si="6"/>
        <v>33677.177005634061</v>
      </c>
      <c r="J40" s="61">
        <f t="shared" si="3"/>
        <v>0</v>
      </c>
      <c r="K40" s="38">
        <f t="shared" si="4"/>
        <v>0</v>
      </c>
      <c r="L40" s="7">
        <f t="shared" si="7"/>
        <v>47600.681699792025</v>
      </c>
    </row>
    <row r="41" spans="1:12" x14ac:dyDescent="0.2">
      <c r="A41" s="23">
        <v>37</v>
      </c>
      <c r="B41" s="28" t="str">
        <f>'Loan Schedule B'!B40</f>
        <v>No</v>
      </c>
      <c r="C41" s="6">
        <f>'Loan Schedule B'!C40</f>
        <v>113450.98734770498</v>
      </c>
      <c r="D41" s="55">
        <f>'Loan Schedule B'!F40</f>
        <v>0</v>
      </c>
      <c r="E41" s="6">
        <f t="shared" si="0"/>
        <v>0</v>
      </c>
      <c r="F41" s="7">
        <f t="shared" si="5"/>
        <v>47600.68169979201</v>
      </c>
      <c r="G41" s="82">
        <f t="shared" si="1"/>
        <v>0</v>
      </c>
      <c r="H41" s="38">
        <f t="shared" si="2"/>
        <v>0</v>
      </c>
      <c r="I41" s="7">
        <f t="shared" si="6"/>
        <v>33677.177005634061</v>
      </c>
      <c r="J41" s="61">
        <f t="shared" si="3"/>
        <v>0</v>
      </c>
      <c r="K41" s="38">
        <f t="shared" si="4"/>
        <v>0</v>
      </c>
      <c r="L41" s="7">
        <f t="shared" si="7"/>
        <v>47600.681699792025</v>
      </c>
    </row>
    <row r="42" spans="1:12" x14ac:dyDescent="0.2">
      <c r="A42" s="23">
        <v>38</v>
      </c>
      <c r="B42" s="28" t="str">
        <f>'Loan Schedule B'!B41</f>
        <v>No</v>
      </c>
      <c r="C42" s="6">
        <f>'Loan Schedule B'!C41</f>
        <v>119123.53671509023</v>
      </c>
      <c r="D42" s="55">
        <f>'Loan Schedule B'!F41</f>
        <v>0</v>
      </c>
      <c r="E42" s="6">
        <f t="shared" si="0"/>
        <v>0</v>
      </c>
      <c r="F42" s="7">
        <f t="shared" si="5"/>
        <v>47600.68169979201</v>
      </c>
      <c r="G42" s="82">
        <f t="shared" si="1"/>
        <v>0</v>
      </c>
      <c r="H42" s="38">
        <f t="shared" si="2"/>
        <v>0</v>
      </c>
      <c r="I42" s="7">
        <f t="shared" si="6"/>
        <v>33677.177005634061</v>
      </c>
      <c r="J42" s="61">
        <f t="shared" si="3"/>
        <v>0</v>
      </c>
      <c r="K42" s="38">
        <f t="shared" si="4"/>
        <v>0</v>
      </c>
      <c r="L42" s="7">
        <f t="shared" si="7"/>
        <v>47600.681699792025</v>
      </c>
    </row>
    <row r="43" spans="1:12" x14ac:dyDescent="0.2">
      <c r="A43" s="23">
        <v>39</v>
      </c>
      <c r="B43" s="28" t="str">
        <f>'Loan Schedule B'!B42</f>
        <v>No</v>
      </c>
      <c r="C43" s="6">
        <f>'Loan Schedule B'!C42</f>
        <v>125079.71355084475</v>
      </c>
      <c r="D43" s="55">
        <f>'Loan Schedule B'!F42</f>
        <v>0</v>
      </c>
      <c r="E43" s="6">
        <f t="shared" si="0"/>
        <v>0</v>
      </c>
      <c r="F43" s="7">
        <f t="shared" si="5"/>
        <v>47600.68169979201</v>
      </c>
      <c r="G43" s="82">
        <f t="shared" si="1"/>
        <v>0</v>
      </c>
      <c r="H43" s="38">
        <f t="shared" si="2"/>
        <v>0</v>
      </c>
      <c r="I43" s="7">
        <f t="shared" si="6"/>
        <v>33677.177005634061</v>
      </c>
      <c r="J43" s="61">
        <f t="shared" si="3"/>
        <v>0</v>
      </c>
      <c r="K43" s="38">
        <f t="shared" si="4"/>
        <v>0</v>
      </c>
      <c r="L43" s="7">
        <f t="shared" si="7"/>
        <v>47600.681699792025</v>
      </c>
    </row>
    <row r="44" spans="1:12" x14ac:dyDescent="0.2">
      <c r="A44" s="24">
        <v>40</v>
      </c>
      <c r="B44" s="29" t="str">
        <f>'Loan Schedule B'!B43</f>
        <v>No</v>
      </c>
      <c r="C44" s="30">
        <f>'Loan Schedule B'!C43</f>
        <v>131333.69922838701</v>
      </c>
      <c r="D44" s="46">
        <f>'Loan Schedule B'!F43</f>
        <v>0</v>
      </c>
      <c r="E44" s="30">
        <f t="shared" si="0"/>
        <v>0</v>
      </c>
      <c r="F44" s="32">
        <f t="shared" si="5"/>
        <v>47600.68169979201</v>
      </c>
      <c r="G44" s="83">
        <f t="shared" si="1"/>
        <v>0</v>
      </c>
      <c r="H44" s="40">
        <f t="shared" si="2"/>
        <v>0</v>
      </c>
      <c r="I44" s="32">
        <f t="shared" si="6"/>
        <v>33677.177005634061</v>
      </c>
      <c r="J44" s="63">
        <f t="shared" si="3"/>
        <v>0</v>
      </c>
      <c r="K44" s="40">
        <f t="shared" si="4"/>
        <v>0</v>
      </c>
      <c r="L44" s="32">
        <f t="shared" si="7"/>
        <v>47600.681699792025</v>
      </c>
    </row>
    <row r="45" spans="1:12" x14ac:dyDescent="0.2">
      <c r="C45" s="2"/>
      <c r="D45" s="2"/>
      <c r="E45" s="2"/>
      <c r="F45" s="2"/>
      <c r="G45" s="3"/>
    </row>
    <row r="46" spans="1:12" x14ac:dyDescent="0.2">
      <c r="C46" s="2"/>
      <c r="D46" s="2"/>
      <c r="E46" s="2"/>
      <c r="F46" s="2"/>
      <c r="G46" s="3"/>
    </row>
    <row r="47" spans="1:12" x14ac:dyDescent="0.2">
      <c r="C47" s="2"/>
      <c r="D47" s="2"/>
      <c r="E47" s="2"/>
      <c r="F47" s="2"/>
      <c r="G47" s="3"/>
    </row>
    <row r="48" spans="1:12" x14ac:dyDescent="0.2">
      <c r="C48" s="2"/>
      <c r="D48" s="2"/>
      <c r="E48" s="2"/>
      <c r="F48" s="2"/>
      <c r="G48" s="3"/>
    </row>
    <row r="49" spans="3:7" x14ac:dyDescent="0.2">
      <c r="C49" s="2"/>
      <c r="D49" s="2"/>
      <c r="E49" s="2"/>
      <c r="F49" s="2"/>
      <c r="G49" s="3"/>
    </row>
    <row r="50" spans="3:7" x14ac:dyDescent="0.2">
      <c r="C50" s="2"/>
      <c r="D50" s="2"/>
      <c r="E50" s="2"/>
      <c r="F50" s="2"/>
      <c r="G50" s="3"/>
    </row>
    <row r="51" spans="3:7" x14ac:dyDescent="0.2">
      <c r="C51" s="2"/>
      <c r="D51" s="2"/>
      <c r="E51" s="2"/>
      <c r="F51" s="2"/>
      <c r="G51" s="3"/>
    </row>
    <row r="52" spans="3:7" x14ac:dyDescent="0.2">
      <c r="C52" s="2"/>
      <c r="D52" s="2"/>
      <c r="E52" s="2"/>
      <c r="F52" s="2"/>
      <c r="G52" s="3"/>
    </row>
    <row r="53" spans="3:7" x14ac:dyDescent="0.2">
      <c r="C53" s="2"/>
      <c r="D53" s="2"/>
      <c r="E53" s="2"/>
      <c r="F53" s="2"/>
      <c r="G53" s="3"/>
    </row>
    <row r="54" spans="3:7" x14ac:dyDescent="0.2">
      <c r="C54" s="2"/>
      <c r="D54" s="2"/>
      <c r="E54" s="2"/>
      <c r="F54" s="2"/>
      <c r="G54" s="3"/>
    </row>
    <row r="55" spans="3:7" x14ac:dyDescent="0.2">
      <c r="C55" s="2"/>
      <c r="D55" s="2"/>
      <c r="E55" s="2"/>
      <c r="F55" s="2"/>
      <c r="G55" s="3"/>
    </row>
    <row r="56" spans="3:7" x14ac:dyDescent="0.2">
      <c r="C56" s="2"/>
      <c r="D56" s="2"/>
      <c r="E56" s="2"/>
      <c r="F56" s="2"/>
      <c r="G56" s="3"/>
    </row>
    <row r="57" spans="3:7" x14ac:dyDescent="0.2">
      <c r="C57" s="2"/>
      <c r="D57" s="2"/>
      <c r="E57" s="2"/>
      <c r="F57" s="2"/>
      <c r="G57" s="3"/>
    </row>
    <row r="58" spans="3:7" x14ac:dyDescent="0.2">
      <c r="C58" s="2"/>
      <c r="D58" s="2"/>
      <c r="E58" s="2"/>
      <c r="F58" s="2"/>
      <c r="G58" s="3"/>
    </row>
    <row r="59" spans="3:7" x14ac:dyDescent="0.2">
      <c r="C59" s="2"/>
      <c r="D59" s="2"/>
      <c r="E59" s="2"/>
      <c r="F59" s="2"/>
      <c r="G59" s="3"/>
    </row>
    <row r="60" spans="3:7" x14ac:dyDescent="0.2">
      <c r="C60" s="2"/>
      <c r="D60" s="2"/>
      <c r="E60" s="2"/>
      <c r="F60" s="2"/>
      <c r="G60" s="3"/>
    </row>
    <row r="61" spans="3:7" x14ac:dyDescent="0.2">
      <c r="C61" s="2"/>
      <c r="D61" s="2"/>
      <c r="E61" s="2"/>
      <c r="F61" s="2"/>
      <c r="G61" s="3"/>
    </row>
  </sheetData>
  <mergeCells count="3">
    <mergeCell ref="D3:F3"/>
    <mergeCell ref="G3:I3"/>
    <mergeCell ref="J3:L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FBD0687CCFA64A90892C425F7C4312" ma:contentTypeVersion="15" ma:contentTypeDescription="Create a new document." ma:contentTypeScope="" ma:versionID="17303ae127fa026b63918438e2020f63">
  <xsd:schema xmlns:xsd="http://www.w3.org/2001/XMLSchema" xmlns:xs="http://www.w3.org/2001/XMLSchema" xmlns:p="http://schemas.microsoft.com/office/2006/metadata/properties" xmlns:ns2="cfdab824-e670-41f2-a5ee-7d4504103506" xmlns:ns3="e0a82e4c-fab7-409b-9177-d9582bcd9bf0" targetNamespace="http://schemas.microsoft.com/office/2006/metadata/properties" ma:root="true" ma:fieldsID="081fd75341a3a3a7f2e509c397fd3632" ns2:_="" ns3:_="">
    <xsd:import namespace="cfdab824-e670-41f2-a5ee-7d4504103506"/>
    <xsd:import namespace="e0a82e4c-fab7-409b-9177-d9582bcd9b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ab824-e670-41f2-a5ee-7d4504103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c5664ec-2097-44f6-aef9-a995d752de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82e4c-fab7-409b-9177-d9582bcd9bf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7052dd5-5980-458a-a238-fb2113b35011}" ma:internalName="TaxCatchAll" ma:showField="CatchAllData" ma:web="e0a82e4c-fab7-409b-9177-d9582bcd9b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a82e4c-fab7-409b-9177-d9582bcd9bf0" xsi:nil="true"/>
    <lcf76f155ced4ddcb4097134ff3c332f xmlns="cfdab824-e670-41f2-a5ee-7d450410350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03227FA-0783-4154-B9F2-161CBC3D70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0FDFA7-59D8-43AF-BC18-95559CFB2C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dab824-e670-41f2-a5ee-7d4504103506"/>
    <ds:schemaRef ds:uri="e0a82e4c-fab7-409b-9177-d9582bcd9b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241672-B187-46E8-B373-8B08A4645288}">
  <ds:schemaRefs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cfdab824-e670-41f2-a5ee-7d4504103506"/>
    <ds:schemaRef ds:uri="http://schemas.microsoft.com/office/2006/documentManagement/types"/>
    <ds:schemaRef ds:uri="http://schemas.microsoft.com/office/infopath/2007/PartnerControls"/>
    <ds:schemaRef ds:uri="e0a82e4c-fab7-409b-9177-d9582bcd9bf0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14</vt:i4>
      </vt:variant>
    </vt:vector>
  </HeadingPairs>
  <TitlesOfParts>
    <vt:vector size="19" baseType="lpstr">
      <vt:lpstr>Parameters</vt:lpstr>
      <vt:lpstr>Loan Schedule A</vt:lpstr>
      <vt:lpstr>Loan Schedule B</vt:lpstr>
      <vt:lpstr>Income Comparison</vt:lpstr>
      <vt:lpstr>Repayment Comparison</vt:lpstr>
      <vt:lpstr>age</vt:lpstr>
      <vt:lpstr>infl</vt:lpstr>
      <vt:lpstr>loan_A</vt:lpstr>
      <vt:lpstr>loan_B</vt:lpstr>
      <vt:lpstr>max_age</vt:lpstr>
      <vt:lpstr>percent</vt:lpstr>
      <vt:lpstr>sal_A</vt:lpstr>
      <vt:lpstr>sal_B</vt:lpstr>
      <vt:lpstr>Sal_Inc</vt:lpstr>
      <vt:lpstr>start_sal_A</vt:lpstr>
      <vt:lpstr>start_sal_B</vt:lpstr>
      <vt:lpstr>target_percent</vt:lpstr>
      <vt:lpstr>years_A</vt:lpstr>
      <vt:lpstr>years_B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ALEXA486</dc:creator>
  <cp:lastModifiedBy>Rosie Brooks</cp:lastModifiedBy>
  <dcterms:created xsi:type="dcterms:W3CDTF">2015-12-20T13:10:43Z</dcterms:created>
  <dcterms:modified xsi:type="dcterms:W3CDTF">2025-12-02T12:12:53Z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0x01010027FBD0687CCFA64A90892C425F7C4312</vt:lpwstr>
  </property>
</Properties>
</file>