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osiel\Downloads\"/>
    </mc:Choice>
  </mc:AlternateContent>
  <xr:revisionPtr revIDLastSave="0" documentId="8_{71100AB0-0EDB-4654-8093-AD5E21EF0D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w data" sheetId="2" r:id="rId1"/>
    <sheet name="Parameters" sheetId="3" r:id="rId2"/>
    <sheet name="Projections" sheetId="1" r:id="rId3"/>
    <sheet name="Ind projection" sheetId="4" r:id="rId4"/>
  </sheets>
  <definedNames>
    <definedName name="_xlnm._FilterDatabase" localSheetId="0" hidden="1">'Raw data'!$A$4:$J$54</definedName>
    <definedName name="accrual">Parameters!$B$14</definedName>
    <definedName name="conts">Parameters!$A$17:$D$20</definedName>
    <definedName name="gov_allow">Parameters!$B$6</definedName>
    <definedName name="inflA">Parameters!$B$9</definedName>
    <definedName name="inflA_low">Parameters!$D$9</definedName>
    <definedName name="inflB">Parameters!$B$10</definedName>
    <definedName name="inflB_low">Parameters!$D$10</definedName>
    <definedName name="inv_low">Parameters!#REF!</definedName>
    <definedName name="inv_ret">Parameters!$B$12</definedName>
    <definedName name="pen_fac">Parameters!$B$7</definedName>
    <definedName name="proj_date">Parameters!$B$4</definedName>
    <definedName name="val_data">'Raw data'!$A$5:$J$54</definedName>
    <definedName name="val_date">Parameters!$B$3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D6" i="4"/>
  <c r="C6" i="4"/>
  <c r="B6" i="4"/>
  <c r="B6" i="1"/>
  <c r="B7" i="1"/>
  <c r="B8" i="1"/>
  <c r="B9" i="1"/>
  <c r="B10" i="1"/>
  <c r="B11" i="1"/>
  <c r="B12" i="1"/>
  <c r="B13" i="1"/>
  <c r="B14" i="1"/>
  <c r="B15" i="1"/>
  <c r="B5" i="1"/>
  <c r="F6" i="1"/>
  <c r="F7" i="1"/>
  <c r="F8" i="1"/>
  <c r="F9" i="1"/>
  <c r="F10" i="1"/>
  <c r="F11" i="1"/>
  <c r="F12" i="1"/>
  <c r="F13" i="1"/>
  <c r="F14" i="1"/>
  <c r="F15" i="1"/>
  <c r="F5" i="1"/>
  <c r="E6" i="1"/>
  <c r="E7" i="1"/>
  <c r="E8" i="1"/>
  <c r="E9" i="1"/>
  <c r="E10" i="1"/>
  <c r="E11" i="1"/>
  <c r="E12" i="1"/>
  <c r="E13" i="1"/>
  <c r="E14" i="1"/>
  <c r="E15" i="1"/>
  <c r="E5" i="1"/>
  <c r="D6" i="1"/>
  <c r="D7" i="1"/>
  <c r="D8" i="1"/>
  <c r="D9" i="1"/>
  <c r="D10" i="1"/>
  <c r="D11" i="1"/>
  <c r="D12" i="1"/>
  <c r="D13" i="1"/>
  <c r="D14" i="1"/>
  <c r="D15" i="1"/>
  <c r="D5" i="1"/>
  <c r="H6" i="1" l="1"/>
  <c r="H7" i="1"/>
  <c r="H8" i="1"/>
  <c r="H9" i="1"/>
  <c r="H10" i="1"/>
  <c r="H11" i="1"/>
  <c r="H12" i="1"/>
  <c r="H13" i="1"/>
  <c r="H14" i="1"/>
  <c r="H15" i="1"/>
  <c r="H5" i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T15" i="1"/>
  <c r="J15" i="1"/>
  <c r="K15" i="1"/>
  <c r="L15" i="1" s="1"/>
  <c r="M15" i="1" s="1"/>
  <c r="P15" i="1"/>
  <c r="C15" i="1"/>
  <c r="T14" i="1"/>
  <c r="J14" i="1"/>
  <c r="K14" i="1"/>
  <c r="L14" i="1" s="1"/>
  <c r="P14" i="1"/>
  <c r="N14" i="1"/>
  <c r="C14" i="1"/>
  <c r="T13" i="1"/>
  <c r="J13" i="1"/>
  <c r="K13" i="1"/>
  <c r="L13" i="1" s="1"/>
  <c r="P13" i="1"/>
  <c r="C13" i="1"/>
  <c r="T12" i="1"/>
  <c r="J12" i="1"/>
  <c r="K12" i="1"/>
  <c r="P12" i="1"/>
  <c r="C12" i="1"/>
  <c r="T11" i="1"/>
  <c r="J11" i="1"/>
  <c r="K11" i="1"/>
  <c r="L11" i="1" s="1"/>
  <c r="P11" i="1"/>
  <c r="N11" i="1"/>
  <c r="C11" i="1"/>
  <c r="T10" i="1"/>
  <c r="J10" i="1"/>
  <c r="K10" i="1"/>
  <c r="P10" i="1"/>
  <c r="C10" i="1"/>
  <c r="T9" i="1"/>
  <c r="J9" i="1"/>
  <c r="K9" i="1"/>
  <c r="L9" i="1" s="1"/>
  <c r="M9" i="1" s="1"/>
  <c r="P9" i="1"/>
  <c r="C9" i="1"/>
  <c r="T8" i="1"/>
  <c r="J8" i="1"/>
  <c r="K8" i="1"/>
  <c r="L8" i="1" s="1"/>
  <c r="P8" i="1"/>
  <c r="C8" i="1"/>
  <c r="T7" i="1"/>
  <c r="J7" i="1"/>
  <c r="K7" i="1"/>
  <c r="L7" i="1" s="1"/>
  <c r="P7" i="1"/>
  <c r="C7" i="1"/>
  <c r="T6" i="1"/>
  <c r="J6" i="1"/>
  <c r="K6" i="1"/>
  <c r="P6" i="1"/>
  <c r="C6" i="1"/>
  <c r="T5" i="1"/>
  <c r="J5" i="1"/>
  <c r="K5" i="1"/>
  <c r="L5" i="1" s="1"/>
  <c r="P5" i="1"/>
  <c r="N5" i="1"/>
  <c r="C5" i="1"/>
  <c r="N8" i="1"/>
  <c r="N12" i="1"/>
  <c r="B7" i="4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C7" i="4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G6" i="4"/>
  <c r="G7" i="4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E7" i="4" l="1"/>
  <c r="G6" i="1"/>
  <c r="I6" i="1" s="1"/>
  <c r="G12" i="1"/>
  <c r="I12" i="1" s="1"/>
  <c r="Q13" i="1"/>
  <c r="G14" i="1"/>
  <c r="I14" i="1" s="1"/>
  <c r="D7" i="4"/>
  <c r="D8" i="4" s="1"/>
  <c r="D9" i="4" s="1"/>
  <c r="D10" i="4" s="1"/>
  <c r="D11" i="4" s="1"/>
  <c r="N6" i="1"/>
  <c r="G10" i="1"/>
  <c r="I10" i="1" s="1"/>
  <c r="G13" i="1"/>
  <c r="I13" i="1" s="1"/>
  <c r="N10" i="1"/>
  <c r="G11" i="1"/>
  <c r="I11" i="1" s="1"/>
  <c r="G15" i="1"/>
  <c r="I15" i="1" s="1"/>
  <c r="Q11" i="1"/>
  <c r="R11" i="1" s="1"/>
  <c r="D12" i="4"/>
  <c r="L6" i="1"/>
  <c r="Q6" i="1" s="1"/>
  <c r="R6" i="1" s="1"/>
  <c r="L12" i="1"/>
  <c r="M12" i="1" s="1"/>
  <c r="O12" i="1" s="1"/>
  <c r="R13" i="1"/>
  <c r="G8" i="1"/>
  <c r="I8" i="1" s="1"/>
  <c r="F6" i="4"/>
  <c r="H6" i="4" s="1"/>
  <c r="M14" i="1"/>
  <c r="O14" i="1" s="1"/>
  <c r="M5" i="1"/>
  <c r="O5" i="1" s="1"/>
  <c r="N7" i="1"/>
  <c r="G7" i="1"/>
  <c r="I7" i="1" s="1"/>
  <c r="G9" i="1"/>
  <c r="I9" i="1" s="1"/>
  <c r="N9" i="1"/>
  <c r="O9" i="1" s="1"/>
  <c r="L10" i="1"/>
  <c r="M10" i="1" s="1"/>
  <c r="M8" i="1"/>
  <c r="O8" i="1" s="1"/>
  <c r="Q8" i="1"/>
  <c r="R8" i="1" s="1"/>
  <c r="N15" i="1"/>
  <c r="O15" i="1" s="1"/>
  <c r="N13" i="1"/>
  <c r="Q5" i="1"/>
  <c r="R5" i="1" s="1"/>
  <c r="Q7" i="1"/>
  <c r="R7" i="1" s="1"/>
  <c r="M7" i="1"/>
  <c r="Q9" i="1"/>
  <c r="R9" i="1" s="1"/>
  <c r="M11" i="1"/>
  <c r="O11" i="1" s="1"/>
  <c r="M13" i="1"/>
  <c r="Q14" i="1"/>
  <c r="R14" i="1" s="1"/>
  <c r="Q15" i="1"/>
  <c r="R15" i="1" s="1"/>
  <c r="G5" i="1"/>
  <c r="I5" i="1" s="1"/>
  <c r="O10" i="1" l="1"/>
  <c r="Q12" i="1"/>
  <c r="R12" i="1" s="1"/>
  <c r="S12" i="1" s="1"/>
  <c r="U12" i="1" s="1"/>
  <c r="M6" i="1"/>
  <c r="O6" i="1" s="1"/>
  <c r="S6" i="1" s="1"/>
  <c r="U6" i="1" s="1"/>
  <c r="S15" i="1"/>
  <c r="U15" i="1" s="1"/>
  <c r="S9" i="1"/>
  <c r="U9" i="1" s="1"/>
  <c r="O13" i="1"/>
  <c r="S13" i="1" s="1"/>
  <c r="U13" i="1" s="1"/>
  <c r="S11" i="1"/>
  <c r="U11" i="1" s="1"/>
  <c r="Q10" i="1"/>
  <c r="R10" i="1" s="1"/>
  <c r="E8" i="4"/>
  <c r="F7" i="4"/>
  <c r="H7" i="4" s="1"/>
  <c r="D13" i="4"/>
  <c r="S5" i="1"/>
  <c r="U5" i="1" s="1"/>
  <c r="O7" i="1"/>
  <c r="S7" i="1" s="1"/>
  <c r="U7" i="1" s="1"/>
  <c r="S8" i="1"/>
  <c r="U8" i="1" s="1"/>
  <c r="S14" i="1"/>
  <c r="U14" i="1" s="1"/>
  <c r="S10" i="1" l="1"/>
  <c r="U10" i="1" s="1"/>
  <c r="E9" i="4"/>
  <c r="F8" i="4"/>
  <c r="H8" i="4" s="1"/>
  <c r="D14" i="4"/>
  <c r="D15" i="4" l="1"/>
  <c r="E10" i="4"/>
  <c r="F9" i="4"/>
  <c r="H9" i="4" s="1"/>
  <c r="D16" i="4" l="1"/>
  <c r="E11" i="4"/>
  <c r="F10" i="4"/>
  <c r="H10" i="4" s="1"/>
  <c r="E12" i="4" l="1"/>
  <c r="F11" i="4"/>
  <c r="H11" i="4" s="1"/>
  <c r="D17" i="4"/>
  <c r="D18" i="4" l="1"/>
  <c r="E13" i="4"/>
  <c r="F12" i="4"/>
  <c r="H12" i="4" s="1"/>
  <c r="E14" i="4" l="1"/>
  <c r="F13" i="4"/>
  <c r="H13" i="4" s="1"/>
  <c r="D19" i="4"/>
  <c r="D20" i="4" l="1"/>
  <c r="E15" i="4"/>
  <c r="F14" i="4"/>
  <c r="H14" i="4" s="1"/>
  <c r="E16" i="4" l="1"/>
  <c r="F15" i="4"/>
  <c r="H15" i="4" s="1"/>
  <c r="D21" i="4"/>
  <c r="D22" i="4" l="1"/>
  <c r="E17" i="4"/>
  <c r="F16" i="4"/>
  <c r="H16" i="4" s="1"/>
  <c r="E18" i="4" l="1"/>
  <c r="F17" i="4"/>
  <c r="H17" i="4" s="1"/>
  <c r="D23" i="4"/>
  <c r="D24" i="4" l="1"/>
  <c r="E19" i="4"/>
  <c r="F18" i="4"/>
  <c r="H18" i="4" s="1"/>
  <c r="E20" i="4" l="1"/>
  <c r="F19" i="4"/>
  <c r="H19" i="4" s="1"/>
  <c r="D25" i="4"/>
  <c r="D26" i="4" l="1"/>
  <c r="E21" i="4"/>
  <c r="F20" i="4"/>
  <c r="H20" i="4" s="1"/>
  <c r="E22" i="4" l="1"/>
  <c r="F21" i="4"/>
  <c r="H21" i="4" s="1"/>
  <c r="D27" i="4"/>
  <c r="D28" i="4" l="1"/>
  <c r="E23" i="4"/>
  <c r="F22" i="4"/>
  <c r="H22" i="4" s="1"/>
  <c r="E24" i="4" l="1"/>
  <c r="F23" i="4"/>
  <c r="H23" i="4" s="1"/>
  <c r="D29" i="4"/>
  <c r="D30" i="4" l="1"/>
  <c r="E25" i="4"/>
  <c r="F24" i="4"/>
  <c r="H24" i="4" s="1"/>
  <c r="E26" i="4" l="1"/>
  <c r="F25" i="4"/>
  <c r="H25" i="4" s="1"/>
  <c r="E27" i="4" l="1"/>
  <c r="F26" i="4"/>
  <c r="H26" i="4" s="1"/>
  <c r="E28" i="4" l="1"/>
  <c r="F27" i="4"/>
  <c r="H27" i="4" s="1"/>
  <c r="E29" i="4" l="1"/>
  <c r="F28" i="4"/>
  <c r="H28" i="4" s="1"/>
  <c r="E30" i="4" l="1"/>
  <c r="F30" i="4" s="1"/>
  <c r="H30" i="4" s="1"/>
  <c r="F29" i="4"/>
  <c r="H29" i="4" s="1"/>
</calcChain>
</file>

<file path=xl/sharedStrings.xml><?xml version="1.0" encoding="utf-8"?>
<sst xmlns="http://schemas.openxmlformats.org/spreadsheetml/2006/main" count="217" uniqueCount="134">
  <si>
    <t>Age</t>
  </si>
  <si>
    <t>Accrual rate</t>
  </si>
  <si>
    <t>CARE Pension</t>
  </si>
  <si>
    <t>Total value</t>
  </si>
  <si>
    <t>Your age:</t>
  </si>
  <si>
    <t>Your contribution:</t>
  </si>
  <si>
    <t>Company’s contribution:</t>
  </si>
  <si>
    <t>Total contribution:</t>
  </si>
  <si>
    <t>SEX</t>
  </si>
  <si>
    <t>NAME</t>
  </si>
  <si>
    <t>M</t>
  </si>
  <si>
    <t>Johnston</t>
  </si>
  <si>
    <t>A</t>
  </si>
  <si>
    <t>Sullivan</t>
  </si>
  <si>
    <t>S</t>
  </si>
  <si>
    <t>Rogers</t>
  </si>
  <si>
    <t>F</t>
  </si>
  <si>
    <t>Green</t>
  </si>
  <si>
    <t>T K</t>
  </si>
  <si>
    <t>L</t>
  </si>
  <si>
    <t>Stenhouse</t>
  </si>
  <si>
    <t>Hayes</t>
  </si>
  <si>
    <t>Gray</t>
  </si>
  <si>
    <t>Snell</t>
  </si>
  <si>
    <t>J</t>
  </si>
  <si>
    <t>Gallacher</t>
  </si>
  <si>
    <t>C</t>
  </si>
  <si>
    <t>Macdonald</t>
  </si>
  <si>
    <t>N</t>
  </si>
  <si>
    <t>Gibb</t>
  </si>
  <si>
    <t>McMinn</t>
  </si>
  <si>
    <t>Binnie</t>
  </si>
  <si>
    <t>G</t>
  </si>
  <si>
    <t>Skeldon</t>
  </si>
  <si>
    <t>Gilchrist</t>
  </si>
  <si>
    <t>McKenzie</t>
  </si>
  <si>
    <t>McMartin</t>
  </si>
  <si>
    <t>R</t>
  </si>
  <si>
    <t>Rae</t>
  </si>
  <si>
    <t>D</t>
  </si>
  <si>
    <t>Newman</t>
  </si>
  <si>
    <t>Scattergood</t>
  </si>
  <si>
    <t>Minchell</t>
  </si>
  <si>
    <t>Ingoe</t>
  </si>
  <si>
    <t>Price</t>
  </si>
  <si>
    <t>I K</t>
  </si>
  <si>
    <t>Richards</t>
  </si>
  <si>
    <t>P J</t>
  </si>
  <si>
    <t>Trotter</t>
  </si>
  <si>
    <t>Hutchinson</t>
  </si>
  <si>
    <t>Pratt</t>
  </si>
  <si>
    <t>Dougall</t>
  </si>
  <si>
    <t>Johnson</t>
  </si>
  <si>
    <t>Jackson</t>
  </si>
  <si>
    <t>Stephenson</t>
  </si>
  <si>
    <t>Merryweather</t>
  </si>
  <si>
    <t>K</t>
  </si>
  <si>
    <t>Young</t>
  </si>
  <si>
    <t>McKay</t>
  </si>
  <si>
    <t>Oubridge</t>
  </si>
  <si>
    <t>White</t>
  </si>
  <si>
    <t>Robson</t>
  </si>
  <si>
    <t>Paterson</t>
  </si>
  <si>
    <t>Vaughan</t>
  </si>
  <si>
    <t>King</t>
  </si>
  <si>
    <t>Jones</t>
  </si>
  <si>
    <t>Wood</t>
  </si>
  <si>
    <t>Henderson</t>
  </si>
  <si>
    <t>Day</t>
  </si>
  <si>
    <t>Smith</t>
  </si>
  <si>
    <t>Ford</t>
  </si>
  <si>
    <t>Rouge</t>
  </si>
  <si>
    <t>Tate</t>
  </si>
  <si>
    <t>Zinn</t>
  </si>
  <si>
    <t>Y</t>
  </si>
  <si>
    <t>E</t>
  </si>
  <si>
    <t>W</t>
  </si>
  <si>
    <t>H</t>
  </si>
  <si>
    <t>O</t>
  </si>
  <si>
    <t>B</t>
  </si>
  <si>
    <t>P</t>
  </si>
  <si>
    <t>V</t>
  </si>
  <si>
    <t>Parameters</t>
  </si>
  <si>
    <t>Projection date</t>
  </si>
  <si>
    <t>Investment returns</t>
  </si>
  <si>
    <t>Year</t>
  </si>
  <si>
    <t>Pensionable salary</t>
  </si>
  <si>
    <t>Projections for individual member</t>
  </si>
  <si>
    <t>New DC funds</t>
  </si>
  <si>
    <t>Inflation A assumption</t>
  </si>
  <si>
    <t>val_date</t>
  </si>
  <si>
    <t>proj_date</t>
  </si>
  <si>
    <t>gov_allow</t>
  </si>
  <si>
    <t>inflA</t>
  </si>
  <si>
    <t>inv_ret</t>
  </si>
  <si>
    <t>accrual</t>
  </si>
  <si>
    <t>conts</t>
  </si>
  <si>
    <t>Pension factor</t>
  </si>
  <si>
    <t>pen_fac</t>
  </si>
  <si>
    <t>Source: AC Ltd client files</t>
  </si>
  <si>
    <t>Effective date of data</t>
  </si>
  <si>
    <t>MEMBER ID</t>
  </si>
  <si>
    <t>Government's max allowance (GMA)</t>
  </si>
  <si>
    <t>Member ID</t>
  </si>
  <si>
    <t>Estimated Pen Sal for 2017</t>
  </si>
  <si>
    <t>Additional CARE pension</t>
  </si>
  <si>
    <t>GMA</t>
  </si>
  <si>
    <t>Exceed GMA?</t>
  </si>
  <si>
    <t>DC pension fund</t>
  </si>
  <si>
    <t>Inflation B assumption</t>
  </si>
  <si>
    <t>inflB</t>
  </si>
  <si>
    <t>Projections</t>
  </si>
  <si>
    <t>At 31 Dec 2016</t>
  </si>
  <si>
    <t>Value at 31/12/2016</t>
  </si>
  <si>
    <t>GMA at 31/12/2016</t>
  </si>
  <si>
    <t>Compare to 2016 GMA</t>
  </si>
  <si>
    <t>Data from GP PS 2016</t>
  </si>
  <si>
    <t>Estimated Pen Sal for 2018</t>
  </si>
  <si>
    <t>Revalued CARE pension from 2016</t>
  </si>
  <si>
    <t>Total CARE pension at 31/12/2018</t>
  </si>
  <si>
    <t>Estimated value at 31/12/2018</t>
  </si>
  <si>
    <t>Estimated GMA at 31/12/2018</t>
  </si>
  <si>
    <t>Compare to 2018 GMA</t>
  </si>
  <si>
    <t>Existing DC fund projected to 31/12/2018</t>
  </si>
  <si>
    <t>Potter</t>
  </si>
  <si>
    <t>Total DC fund at 31/12/2018</t>
  </si>
  <si>
    <t>INITIALS</t>
  </si>
  <si>
    <t>DATE OF BIRTH</t>
  </si>
  <si>
    <t>Date of birth</t>
  </si>
  <si>
    <t>DATE JOINED PENSION SCHEME</t>
  </si>
  <si>
    <t>TOTAL CARE CONTRIBUTIONS TO 31 DEC 2016 ($)</t>
  </si>
  <si>
    <t>TOTAL DC FUND AT 31 DEC 2016 ($)</t>
  </si>
  <si>
    <t>PENSIONABLE SALARY AT 31 DEC 2016 ($)</t>
  </si>
  <si>
    <t>TOTAL CARE PENSION AT 31 DEC 2016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</si>
</sst>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00_-;\-* #,##0.000_-;_-* &quot;-&quot;??_-;_-@_-"/>
    <numFmt numFmtId="167" formatCode="0.0%"/>
    <numFmt numFmtId="168" formatCode="[$$-409]#,##0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9" fontId="0" fillId="0" borderId="0" xfId="0" applyNumberFormat="1"/>
    <xf numFmtId="9" fontId="0" fillId="0" borderId="0" xfId="1" applyFont="1"/>
    <xf numFmtId="14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  <xf numFmtId="43" fontId="0" fillId="0" borderId="0" xfId="2" applyFont="1"/>
    <xf numFmtId="43" fontId="0" fillId="0" borderId="0" xfId="0" applyNumberFormat="1"/>
    <xf numFmtId="164" fontId="0" fillId="0" borderId="0" xfId="0" applyNumberFormat="1"/>
    <xf numFmtId="10" fontId="0" fillId="0" borderId="0" xfId="0" applyNumberFormat="1"/>
    <xf numFmtId="165" fontId="0" fillId="0" borderId="0" xfId="2" applyNumberFormat="1" applyFont="1"/>
    <xf numFmtId="165" fontId="0" fillId="0" borderId="0" xfId="2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43" fontId="0" fillId="0" borderId="0" xfId="2" applyFont="1" applyBorder="1"/>
    <xf numFmtId="43" fontId="0" fillId="0" borderId="2" xfId="2" applyFont="1" applyBorder="1"/>
    <xf numFmtId="0" fontId="3" fillId="0" borderId="3" xfId="0" applyFont="1" applyBorder="1"/>
    <xf numFmtId="0" fontId="0" fillId="2" borderId="6" xfId="0" applyFill="1" applyBorder="1"/>
    <xf numFmtId="43" fontId="0" fillId="3" borderId="0" xfId="2" applyFont="1" applyFill="1"/>
    <xf numFmtId="165" fontId="0" fillId="3" borderId="0" xfId="2" applyNumberFormat="1" applyFont="1" applyFill="1"/>
    <xf numFmtId="166" fontId="0" fillId="0" borderId="0" xfId="2" applyNumberFormat="1" applyFont="1"/>
    <xf numFmtId="0" fontId="3" fillId="0" borderId="3" xfId="0" applyFont="1" applyBorder="1" applyAlignment="1">
      <alignment wrapText="1"/>
    </xf>
    <xf numFmtId="0" fontId="0" fillId="3" borderId="0" xfId="0" applyFill="1"/>
    <xf numFmtId="167" fontId="0" fillId="0" borderId="0" xfId="1" applyNumberFormat="1" applyFont="1"/>
    <xf numFmtId="0" fontId="0" fillId="4" borderId="0" xfId="0" applyFill="1"/>
    <xf numFmtId="165" fontId="0" fillId="0" borderId="0" xfId="2" applyNumberFormat="1" applyFont="1" applyBorder="1" applyAlignment="1">
      <alignment horizontal="left" indent="2"/>
    </xf>
    <xf numFmtId="165" fontId="0" fillId="0" borderId="1" xfId="2" applyNumberFormat="1" applyFont="1" applyBorder="1" applyAlignment="1">
      <alignment horizontal="right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168" fontId="0" fillId="0" borderId="0" xfId="2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2"/>
  <sheetViews>
    <sheetView tabSelected="1" workbookViewId="0"/>
  </sheetViews>
  <sheetFormatPr defaultRowHeight="12.75" x14ac:dyDescent="0.2"/>
  <cols>
    <col min="1" max="1" width="13.85546875" bestFit="1" customWidth="1"/>
    <col min="3" max="3" width="12.140625" bestFit="1" customWidth="1"/>
    <col min="5" max="5" width="10.140625" bestFit="1" customWidth="1"/>
    <col min="6" max="6" width="17.42578125" customWidth="1"/>
    <col min="7" max="8" width="19.28515625" customWidth="1"/>
    <col min="9" max="9" width="15.28515625" customWidth="1"/>
    <col min="10" max="10" width="17.5703125" customWidth="1"/>
    <col min="11" max="11" width="13.42578125" customWidth="1"/>
    <col min="12" max="12" width="10.28515625" bestFit="1" customWidth="1"/>
    <col min="16" max="16" width="10.28515625" bestFit="1" customWidth="1"/>
  </cols>
  <sheetData>
    <row r="1" spans="1:19" x14ac:dyDescent="0.2">
      <c r="A1" s="4" t="s">
        <v>116</v>
      </c>
    </row>
    <row r="2" spans="1:19" x14ac:dyDescent="0.2">
      <c r="A2" t="s">
        <v>99</v>
      </c>
    </row>
    <row r="4" spans="1:19" s="5" customFormat="1" ht="38.25" x14ac:dyDescent="0.2">
      <c r="A4" s="5" t="s">
        <v>101</v>
      </c>
      <c r="B4" s="5" t="s">
        <v>8</v>
      </c>
      <c r="C4" s="5" t="s">
        <v>9</v>
      </c>
      <c r="D4" s="5" t="s">
        <v>126</v>
      </c>
      <c r="E4" s="5" t="s">
        <v>127</v>
      </c>
      <c r="F4" s="5" t="s">
        <v>129</v>
      </c>
      <c r="G4" s="5" t="s">
        <v>130</v>
      </c>
      <c r="H4" s="5" t="s">
        <v>131</v>
      </c>
      <c r="I4" s="5" t="s">
        <v>132</v>
      </c>
      <c r="J4" s="5" t="s">
        <v>133</v>
      </c>
    </row>
    <row r="5" spans="1:19" x14ac:dyDescent="0.2">
      <c r="A5">
        <v>35186</v>
      </c>
      <c r="B5" t="s">
        <v>10</v>
      </c>
      <c r="C5" t="s">
        <v>11</v>
      </c>
      <c r="D5" t="s">
        <v>12</v>
      </c>
      <c r="E5" s="3">
        <v>27066</v>
      </c>
      <c r="F5" s="3">
        <v>37411</v>
      </c>
      <c r="G5" s="6">
        <v>61760.58</v>
      </c>
      <c r="H5" s="6">
        <v>55369.09</v>
      </c>
      <c r="I5" s="6">
        <v>73680.850000000006</v>
      </c>
      <c r="J5" s="6">
        <v>19181.2</v>
      </c>
      <c r="K5" s="7"/>
      <c r="L5" s="7"/>
      <c r="P5" s="7"/>
      <c r="Q5" s="7"/>
      <c r="R5" s="7"/>
      <c r="S5" s="7"/>
    </row>
    <row r="6" spans="1:19" x14ac:dyDescent="0.2">
      <c r="A6">
        <v>27390</v>
      </c>
      <c r="B6" t="s">
        <v>10</v>
      </c>
      <c r="C6" t="s">
        <v>13</v>
      </c>
      <c r="D6" t="s">
        <v>32</v>
      </c>
      <c r="E6" s="3">
        <v>27095</v>
      </c>
      <c r="F6" s="3">
        <v>36312</v>
      </c>
      <c r="G6" s="6">
        <v>87867.85</v>
      </c>
      <c r="H6" s="6">
        <v>54099.21</v>
      </c>
      <c r="I6" s="6">
        <v>137844.87</v>
      </c>
      <c r="J6" s="6">
        <v>35135.83</v>
      </c>
      <c r="K6" s="7"/>
      <c r="L6" s="7"/>
      <c r="P6" s="7"/>
      <c r="Q6" s="7"/>
      <c r="R6" s="7"/>
      <c r="S6" s="7"/>
    </row>
    <row r="7" spans="1:19" x14ac:dyDescent="0.2">
      <c r="A7">
        <v>12710</v>
      </c>
      <c r="B7" t="s">
        <v>10</v>
      </c>
      <c r="C7" t="s">
        <v>65</v>
      </c>
      <c r="D7" t="s">
        <v>18</v>
      </c>
      <c r="E7" s="3">
        <v>27167</v>
      </c>
      <c r="F7" s="3">
        <v>35612</v>
      </c>
      <c r="G7" s="6">
        <v>89093.24</v>
      </c>
      <c r="H7" s="6">
        <v>44317.36</v>
      </c>
      <c r="I7" s="6">
        <v>131203.63</v>
      </c>
      <c r="J7" s="6">
        <v>37760.1</v>
      </c>
      <c r="K7" s="7"/>
      <c r="L7" s="7"/>
      <c r="P7" s="7"/>
      <c r="Q7" s="7"/>
      <c r="R7" s="7"/>
      <c r="S7" s="7"/>
    </row>
    <row r="8" spans="1:19" x14ac:dyDescent="0.2">
      <c r="A8">
        <v>91706</v>
      </c>
      <c r="B8" t="s">
        <v>10</v>
      </c>
      <c r="C8" t="s">
        <v>66</v>
      </c>
      <c r="D8" t="s">
        <v>74</v>
      </c>
      <c r="E8" s="3">
        <v>27364</v>
      </c>
      <c r="F8" s="3">
        <v>37046</v>
      </c>
      <c r="G8" s="6">
        <v>90286.96</v>
      </c>
      <c r="H8" s="6">
        <v>39500.26</v>
      </c>
      <c r="I8" s="6">
        <v>153992.35</v>
      </c>
      <c r="J8" s="6">
        <v>33141.35</v>
      </c>
      <c r="K8" s="7"/>
      <c r="L8" s="7"/>
      <c r="P8" s="7"/>
      <c r="Q8" s="7"/>
      <c r="R8" s="7"/>
      <c r="S8" s="7"/>
    </row>
    <row r="9" spans="1:19" x14ac:dyDescent="0.2">
      <c r="A9">
        <v>92665</v>
      </c>
      <c r="B9" t="s">
        <v>10</v>
      </c>
      <c r="C9" t="s">
        <v>15</v>
      </c>
      <c r="D9" t="s">
        <v>75</v>
      </c>
      <c r="E9" s="3">
        <v>27422</v>
      </c>
      <c r="F9" s="3">
        <v>37557</v>
      </c>
      <c r="G9" s="6">
        <v>108683.02</v>
      </c>
      <c r="H9" s="6">
        <v>32398.12</v>
      </c>
      <c r="I9" s="6">
        <v>222238.49</v>
      </c>
      <c r="J9" s="6">
        <v>41596.019999999997</v>
      </c>
      <c r="K9" s="7"/>
      <c r="L9" s="7"/>
      <c r="P9" s="7"/>
      <c r="Q9" s="7"/>
      <c r="R9" s="7"/>
      <c r="S9" s="7"/>
    </row>
    <row r="10" spans="1:19" x14ac:dyDescent="0.2">
      <c r="A10">
        <v>66345</v>
      </c>
      <c r="B10" t="s">
        <v>10</v>
      </c>
      <c r="C10" t="s">
        <v>67</v>
      </c>
      <c r="D10" t="s">
        <v>76</v>
      </c>
      <c r="E10" s="3">
        <v>25019</v>
      </c>
      <c r="F10" s="3">
        <v>35275</v>
      </c>
      <c r="G10" s="6">
        <v>94916.54</v>
      </c>
      <c r="H10" s="6">
        <v>45143.13</v>
      </c>
      <c r="I10" s="6">
        <v>136440.63</v>
      </c>
      <c r="J10" s="6">
        <v>44887</v>
      </c>
      <c r="K10" s="7"/>
      <c r="L10" s="7"/>
      <c r="P10" s="7"/>
      <c r="Q10" s="7"/>
      <c r="R10" s="7"/>
      <c r="S10" s="7"/>
    </row>
    <row r="11" spans="1:19" x14ac:dyDescent="0.2">
      <c r="A11">
        <v>9114</v>
      </c>
      <c r="B11" t="s">
        <v>16</v>
      </c>
      <c r="C11" t="s">
        <v>17</v>
      </c>
      <c r="D11" t="s">
        <v>77</v>
      </c>
      <c r="E11" s="3">
        <v>27575</v>
      </c>
      <c r="F11" s="3">
        <v>38370</v>
      </c>
      <c r="G11" s="6">
        <v>48290.89</v>
      </c>
      <c r="H11" s="6">
        <v>36568.89</v>
      </c>
      <c r="I11" s="6">
        <v>114229.11</v>
      </c>
      <c r="J11" s="6">
        <v>16733.21</v>
      </c>
      <c r="K11" s="7"/>
      <c r="L11" s="7"/>
      <c r="P11" s="7"/>
      <c r="Q11" s="7"/>
      <c r="R11" s="7"/>
      <c r="S11" s="7"/>
    </row>
    <row r="12" spans="1:19" x14ac:dyDescent="0.2">
      <c r="A12">
        <v>66760</v>
      </c>
      <c r="B12" t="s">
        <v>10</v>
      </c>
      <c r="C12" t="s">
        <v>68</v>
      </c>
      <c r="D12" t="s">
        <v>10</v>
      </c>
      <c r="E12" s="3">
        <v>27855</v>
      </c>
      <c r="F12" s="3">
        <v>36024</v>
      </c>
      <c r="G12" s="6">
        <v>81629.87</v>
      </c>
      <c r="H12" s="6">
        <v>32585.85</v>
      </c>
      <c r="I12" s="6">
        <v>127956.16</v>
      </c>
      <c r="J12" s="6">
        <v>33748.94</v>
      </c>
      <c r="K12" s="7"/>
      <c r="L12" s="7"/>
      <c r="P12" s="7"/>
      <c r="Q12" s="7"/>
      <c r="R12" s="7"/>
      <c r="S12" s="7"/>
    </row>
    <row r="13" spans="1:19" x14ac:dyDescent="0.2">
      <c r="A13">
        <v>62986</v>
      </c>
      <c r="B13" t="s">
        <v>10</v>
      </c>
      <c r="C13" t="s">
        <v>69</v>
      </c>
      <c r="D13" t="s">
        <v>37</v>
      </c>
      <c r="E13" s="3">
        <v>27905</v>
      </c>
      <c r="F13" s="3">
        <v>39027</v>
      </c>
      <c r="G13" s="6">
        <v>39230.32</v>
      </c>
      <c r="H13" s="6">
        <v>41927.800000000003</v>
      </c>
      <c r="I13" s="6">
        <v>68777.570000000007</v>
      </c>
      <c r="J13" s="6">
        <v>10533.58</v>
      </c>
      <c r="K13" s="7"/>
      <c r="L13" s="7"/>
      <c r="P13" s="7"/>
      <c r="Q13" s="7"/>
      <c r="R13" s="7"/>
      <c r="S13" s="7"/>
    </row>
    <row r="14" spans="1:19" x14ac:dyDescent="0.2">
      <c r="A14">
        <v>80447</v>
      </c>
      <c r="B14" t="s">
        <v>10</v>
      </c>
      <c r="C14" t="s">
        <v>124</v>
      </c>
      <c r="D14" t="s">
        <v>75</v>
      </c>
      <c r="E14" s="3">
        <v>29416</v>
      </c>
      <c r="F14" s="3">
        <v>39090</v>
      </c>
      <c r="G14" s="6">
        <v>71323.179999999993</v>
      </c>
      <c r="H14" s="6">
        <v>20550.37</v>
      </c>
      <c r="I14" s="6">
        <v>68926.570000000007</v>
      </c>
      <c r="J14" s="6">
        <v>18401.86</v>
      </c>
      <c r="K14" s="7"/>
      <c r="L14" s="7"/>
      <c r="P14" s="7"/>
      <c r="Q14" s="7"/>
      <c r="R14" s="7"/>
      <c r="S14" s="7"/>
    </row>
    <row r="15" spans="1:19" x14ac:dyDescent="0.2">
      <c r="A15">
        <v>52743</v>
      </c>
      <c r="B15" t="s">
        <v>16</v>
      </c>
      <c r="C15" t="s">
        <v>70</v>
      </c>
      <c r="D15" t="s">
        <v>28</v>
      </c>
      <c r="E15" s="3">
        <v>30023</v>
      </c>
      <c r="F15" s="3">
        <v>39479</v>
      </c>
      <c r="G15" s="6">
        <v>22118.06</v>
      </c>
      <c r="H15" s="6">
        <v>39885.019999999997</v>
      </c>
      <c r="I15" s="6">
        <v>61586.86</v>
      </c>
      <c r="J15" s="6">
        <v>4137.58</v>
      </c>
      <c r="K15" s="7"/>
      <c r="L15" s="7"/>
      <c r="P15" s="7"/>
      <c r="Q15" s="7"/>
      <c r="R15" s="7"/>
      <c r="S15" s="7"/>
    </row>
    <row r="16" spans="1:19" x14ac:dyDescent="0.2">
      <c r="A16">
        <v>62693</v>
      </c>
      <c r="B16" t="s">
        <v>10</v>
      </c>
      <c r="C16" t="s">
        <v>71</v>
      </c>
      <c r="D16" t="s">
        <v>77</v>
      </c>
      <c r="E16" s="3">
        <v>28150</v>
      </c>
      <c r="F16" s="3">
        <v>38108</v>
      </c>
      <c r="G16" s="6">
        <v>67978.5</v>
      </c>
      <c r="H16" s="6">
        <v>44149.9</v>
      </c>
      <c r="I16" s="6">
        <v>139528.45000000001</v>
      </c>
      <c r="J16" s="6">
        <v>21992.58</v>
      </c>
      <c r="K16" s="7"/>
      <c r="L16" s="7"/>
      <c r="P16" s="7"/>
      <c r="Q16" s="7"/>
      <c r="R16" s="7"/>
      <c r="S16" s="7"/>
    </row>
    <row r="17" spans="1:19" x14ac:dyDescent="0.2">
      <c r="A17">
        <v>61980</v>
      </c>
      <c r="B17" t="s">
        <v>16</v>
      </c>
      <c r="C17" t="s">
        <v>72</v>
      </c>
      <c r="D17" t="s">
        <v>16</v>
      </c>
      <c r="E17" s="3">
        <v>28291</v>
      </c>
      <c r="F17" s="3">
        <v>37291</v>
      </c>
      <c r="G17" s="6">
        <v>52732.02</v>
      </c>
      <c r="H17" s="6">
        <v>42545.91</v>
      </c>
      <c r="I17" s="6">
        <v>98820.39</v>
      </c>
      <c r="J17" s="6">
        <v>18612.57</v>
      </c>
      <c r="K17" s="7"/>
      <c r="L17" s="7"/>
      <c r="P17" s="7"/>
      <c r="Q17" s="7"/>
      <c r="R17" s="7"/>
      <c r="S17" s="7"/>
    </row>
    <row r="18" spans="1:19" x14ac:dyDescent="0.2">
      <c r="A18">
        <v>3627</v>
      </c>
      <c r="B18" t="s">
        <v>16</v>
      </c>
      <c r="C18" t="s">
        <v>73</v>
      </c>
      <c r="D18" t="s">
        <v>39</v>
      </c>
      <c r="E18" s="3">
        <v>29462</v>
      </c>
      <c r="F18" s="3">
        <v>39111</v>
      </c>
      <c r="G18" s="6">
        <v>42394</v>
      </c>
      <c r="H18" s="6">
        <v>40392.629999999997</v>
      </c>
      <c r="I18" s="6">
        <v>105117.25</v>
      </c>
      <c r="J18" s="6">
        <v>8784.85</v>
      </c>
      <c r="K18" s="7"/>
      <c r="L18" s="7"/>
      <c r="P18" s="7"/>
      <c r="Q18" s="7"/>
      <c r="R18" s="7"/>
      <c r="S18" s="7"/>
    </row>
    <row r="19" spans="1:19" x14ac:dyDescent="0.2">
      <c r="A19">
        <v>58982</v>
      </c>
      <c r="B19" t="s">
        <v>10</v>
      </c>
      <c r="C19" t="s">
        <v>20</v>
      </c>
      <c r="D19" t="s">
        <v>75</v>
      </c>
      <c r="E19" s="3">
        <v>29060</v>
      </c>
      <c r="F19" s="3">
        <v>37165</v>
      </c>
      <c r="G19" s="6">
        <v>65128.6</v>
      </c>
      <c r="H19" s="6">
        <v>25758.7</v>
      </c>
      <c r="I19" s="6">
        <v>117462.92</v>
      </c>
      <c r="J19" s="6">
        <v>22242.21</v>
      </c>
      <c r="K19" s="7"/>
      <c r="L19" s="7"/>
      <c r="P19" s="7"/>
      <c r="Q19" s="7"/>
      <c r="R19" s="7"/>
      <c r="S19" s="7"/>
    </row>
    <row r="20" spans="1:19" x14ac:dyDescent="0.2">
      <c r="A20">
        <v>57799</v>
      </c>
      <c r="B20" t="s">
        <v>10</v>
      </c>
      <c r="C20" t="s">
        <v>21</v>
      </c>
      <c r="D20" t="s">
        <v>26</v>
      </c>
      <c r="E20" s="3">
        <v>29849</v>
      </c>
      <c r="F20" s="3">
        <v>37809</v>
      </c>
      <c r="G20" s="6">
        <v>35762.400000000001</v>
      </c>
      <c r="H20" s="6">
        <v>35545.96</v>
      </c>
      <c r="I20" s="6">
        <v>56523.43</v>
      </c>
      <c r="J20" s="6">
        <v>9868.7900000000009</v>
      </c>
      <c r="K20" s="7"/>
      <c r="L20" s="7"/>
      <c r="P20" s="7"/>
      <c r="Q20" s="7"/>
      <c r="R20" s="7"/>
      <c r="S20" s="7"/>
    </row>
    <row r="21" spans="1:19" x14ac:dyDescent="0.2">
      <c r="A21">
        <v>23789</v>
      </c>
      <c r="B21" t="s">
        <v>16</v>
      </c>
      <c r="C21" t="s">
        <v>22</v>
      </c>
      <c r="D21" t="s">
        <v>77</v>
      </c>
      <c r="E21" s="3">
        <v>31997</v>
      </c>
      <c r="F21" s="3">
        <v>40299</v>
      </c>
      <c r="G21" s="6">
        <v>16045.93</v>
      </c>
      <c r="H21" s="6">
        <v>33400.25</v>
      </c>
      <c r="I21" s="6">
        <v>69478.289999999994</v>
      </c>
      <c r="J21" s="6">
        <v>2190.71</v>
      </c>
      <c r="K21" s="7"/>
      <c r="L21" s="7"/>
      <c r="P21" s="7"/>
      <c r="Q21" s="7"/>
      <c r="R21" s="7"/>
      <c r="S21" s="7"/>
    </row>
    <row r="22" spans="1:19" x14ac:dyDescent="0.2">
      <c r="A22">
        <v>56068</v>
      </c>
      <c r="B22" t="s">
        <v>10</v>
      </c>
      <c r="C22" t="s">
        <v>23</v>
      </c>
      <c r="D22" t="s">
        <v>24</v>
      </c>
      <c r="E22" s="3">
        <v>28637</v>
      </c>
      <c r="F22" s="3">
        <v>39342</v>
      </c>
      <c r="G22" s="6">
        <v>27907.1</v>
      </c>
      <c r="H22" s="6">
        <v>31194.9</v>
      </c>
      <c r="I22" s="6">
        <v>50563.27</v>
      </c>
      <c r="J22" s="6">
        <v>5912.83</v>
      </c>
      <c r="K22" s="7"/>
      <c r="L22" s="7"/>
      <c r="P22" s="7"/>
      <c r="Q22" s="7"/>
      <c r="R22" s="7"/>
      <c r="S22" s="7"/>
    </row>
    <row r="23" spans="1:19" x14ac:dyDescent="0.2">
      <c r="A23">
        <v>61831</v>
      </c>
      <c r="B23" t="s">
        <v>10</v>
      </c>
      <c r="C23" t="s">
        <v>25</v>
      </c>
      <c r="D23" t="s">
        <v>56</v>
      </c>
      <c r="E23" s="3">
        <v>29056</v>
      </c>
      <c r="F23" s="3">
        <v>37515</v>
      </c>
      <c r="G23" s="6">
        <v>58331.58</v>
      </c>
      <c r="H23" s="6">
        <v>3737.27</v>
      </c>
      <c r="I23" s="6">
        <v>69502.149999999994</v>
      </c>
      <c r="J23" s="6">
        <v>15646.13</v>
      </c>
      <c r="K23" s="7"/>
      <c r="L23" s="7"/>
      <c r="P23" s="7"/>
      <c r="Q23" s="7"/>
      <c r="R23" s="7"/>
      <c r="S23" s="7"/>
    </row>
    <row r="24" spans="1:19" x14ac:dyDescent="0.2">
      <c r="A24">
        <v>67510</v>
      </c>
      <c r="B24" t="s">
        <v>10</v>
      </c>
      <c r="C24" t="s">
        <v>27</v>
      </c>
      <c r="D24" t="s">
        <v>45</v>
      </c>
      <c r="E24" s="3">
        <v>29559</v>
      </c>
      <c r="F24" s="3">
        <v>35977</v>
      </c>
      <c r="G24" s="6">
        <v>69215.45</v>
      </c>
      <c r="H24" s="6">
        <v>25455.8</v>
      </c>
      <c r="I24" s="6">
        <v>126695.5</v>
      </c>
      <c r="J24" s="6">
        <v>29408.2</v>
      </c>
      <c r="K24" s="7"/>
      <c r="L24" s="7"/>
      <c r="P24" s="7"/>
      <c r="Q24" s="7"/>
      <c r="R24" s="7"/>
      <c r="S24" s="7"/>
    </row>
    <row r="25" spans="1:19" x14ac:dyDescent="0.2">
      <c r="A25">
        <v>45572</v>
      </c>
      <c r="B25" t="s">
        <v>10</v>
      </c>
      <c r="C25" t="s">
        <v>29</v>
      </c>
      <c r="D25" t="s">
        <v>47</v>
      </c>
      <c r="E25" s="3">
        <v>28567</v>
      </c>
      <c r="F25" s="3">
        <v>37270</v>
      </c>
      <c r="G25" s="6">
        <v>45767.45</v>
      </c>
      <c r="H25" s="6">
        <v>30932.38</v>
      </c>
      <c r="I25" s="6">
        <v>61894.99</v>
      </c>
      <c r="J25" s="6">
        <v>13504.65</v>
      </c>
      <c r="K25" s="7"/>
      <c r="L25" s="7"/>
      <c r="P25" s="7"/>
      <c r="Q25" s="7"/>
      <c r="R25" s="7"/>
      <c r="S25" s="7"/>
    </row>
    <row r="26" spans="1:19" x14ac:dyDescent="0.2">
      <c r="A26">
        <v>13187</v>
      </c>
      <c r="B26" t="s">
        <v>16</v>
      </c>
      <c r="C26" t="s">
        <v>30</v>
      </c>
      <c r="D26" t="s">
        <v>78</v>
      </c>
      <c r="E26" s="3">
        <v>31536</v>
      </c>
      <c r="F26" s="3">
        <v>39508</v>
      </c>
      <c r="G26" s="6">
        <v>25329.67</v>
      </c>
      <c r="H26" s="6">
        <v>22468.33</v>
      </c>
      <c r="I26" s="6">
        <v>64122.43</v>
      </c>
      <c r="J26" s="6">
        <v>3852.58</v>
      </c>
      <c r="K26" s="7"/>
      <c r="L26" s="7"/>
      <c r="P26" s="7"/>
      <c r="Q26" s="7"/>
      <c r="R26" s="7"/>
      <c r="S26" s="7"/>
    </row>
    <row r="27" spans="1:19" x14ac:dyDescent="0.2">
      <c r="A27">
        <v>65534</v>
      </c>
      <c r="B27" t="s">
        <v>10</v>
      </c>
      <c r="C27" t="s">
        <v>31</v>
      </c>
      <c r="D27" t="s">
        <v>12</v>
      </c>
      <c r="E27" s="3">
        <v>28458</v>
      </c>
      <c r="F27" s="3">
        <v>37515</v>
      </c>
      <c r="G27" s="6">
        <v>51986.73</v>
      </c>
      <c r="H27" s="6">
        <v>24368.720000000001</v>
      </c>
      <c r="I27" s="6">
        <v>64868.160000000003</v>
      </c>
      <c r="J27" s="6">
        <v>15780.97</v>
      </c>
      <c r="K27" s="7"/>
      <c r="L27" s="7"/>
      <c r="P27" s="7"/>
      <c r="Q27" s="7"/>
      <c r="R27" s="7"/>
      <c r="S27" s="7"/>
    </row>
    <row r="28" spans="1:19" x14ac:dyDescent="0.2">
      <c r="A28">
        <v>89987</v>
      </c>
      <c r="B28" t="s">
        <v>10</v>
      </c>
      <c r="C28" t="s">
        <v>33</v>
      </c>
      <c r="D28" t="s">
        <v>26</v>
      </c>
      <c r="E28" s="3">
        <v>29155</v>
      </c>
      <c r="F28" s="3">
        <v>38075</v>
      </c>
      <c r="G28" s="6">
        <v>49095.87</v>
      </c>
      <c r="H28" s="6">
        <v>25714.89</v>
      </c>
      <c r="I28" s="6">
        <v>96655.46</v>
      </c>
      <c r="J28" s="6">
        <v>14795.57</v>
      </c>
      <c r="K28" s="7"/>
      <c r="L28" s="7"/>
      <c r="P28" s="7"/>
      <c r="Q28" s="7"/>
      <c r="R28" s="7"/>
      <c r="S28" s="7"/>
    </row>
    <row r="29" spans="1:19" x14ac:dyDescent="0.2">
      <c r="A29">
        <v>50456</v>
      </c>
      <c r="B29" t="s">
        <v>10</v>
      </c>
      <c r="C29" t="s">
        <v>34</v>
      </c>
      <c r="D29" t="s">
        <v>79</v>
      </c>
      <c r="E29" s="3">
        <v>29042</v>
      </c>
      <c r="F29" s="3">
        <v>39448</v>
      </c>
      <c r="G29" s="6">
        <v>33818.160000000003</v>
      </c>
      <c r="H29" s="6">
        <v>40636.559999999998</v>
      </c>
      <c r="I29" s="6">
        <v>61117.72</v>
      </c>
      <c r="J29" s="6">
        <v>6438.59</v>
      </c>
      <c r="K29" s="7"/>
      <c r="L29" s="7"/>
      <c r="P29" s="7"/>
      <c r="Q29" s="7"/>
      <c r="R29" s="7"/>
      <c r="S29" s="7"/>
    </row>
    <row r="30" spans="1:19" x14ac:dyDescent="0.2">
      <c r="A30">
        <v>4144</v>
      </c>
      <c r="B30" t="s">
        <v>10</v>
      </c>
      <c r="C30" t="s">
        <v>35</v>
      </c>
      <c r="D30" t="s">
        <v>28</v>
      </c>
      <c r="E30" s="3">
        <v>28901</v>
      </c>
      <c r="F30" s="3">
        <v>38754</v>
      </c>
      <c r="G30" s="6">
        <v>55912.61</v>
      </c>
      <c r="H30" s="6">
        <v>39616.39</v>
      </c>
      <c r="I30" s="6">
        <v>125955.92</v>
      </c>
      <c r="J30" s="6">
        <v>15289.56</v>
      </c>
      <c r="K30" s="7"/>
      <c r="L30" s="7"/>
      <c r="P30" s="7"/>
      <c r="Q30" s="7"/>
      <c r="R30" s="7"/>
      <c r="S30" s="7"/>
    </row>
    <row r="31" spans="1:19" x14ac:dyDescent="0.2">
      <c r="A31">
        <v>81862</v>
      </c>
      <c r="B31" t="s">
        <v>10</v>
      </c>
      <c r="C31" t="s">
        <v>36</v>
      </c>
      <c r="D31" t="s">
        <v>10</v>
      </c>
      <c r="E31" s="3">
        <v>31840</v>
      </c>
      <c r="F31" s="3">
        <v>38579</v>
      </c>
      <c r="G31" s="6">
        <v>35694.68</v>
      </c>
      <c r="H31" s="6">
        <v>35684.9</v>
      </c>
      <c r="I31" s="6">
        <v>61652.7</v>
      </c>
      <c r="J31" s="6">
        <v>8625.39</v>
      </c>
      <c r="K31" s="7"/>
      <c r="L31" s="7"/>
      <c r="P31" s="7"/>
      <c r="Q31" s="7"/>
      <c r="R31" s="7"/>
      <c r="S31" s="7"/>
    </row>
    <row r="32" spans="1:19" x14ac:dyDescent="0.2">
      <c r="A32">
        <v>69970</v>
      </c>
      <c r="B32" t="s">
        <v>10</v>
      </c>
      <c r="C32" t="s">
        <v>38</v>
      </c>
      <c r="D32" t="s">
        <v>37</v>
      </c>
      <c r="E32" s="3">
        <v>23171</v>
      </c>
      <c r="F32" s="3">
        <v>34952</v>
      </c>
      <c r="G32" s="6">
        <v>75015.58</v>
      </c>
      <c r="H32" s="6">
        <v>31105.99</v>
      </c>
      <c r="I32" s="6">
        <v>80777.2</v>
      </c>
      <c r="J32" s="6">
        <v>34250.44</v>
      </c>
      <c r="K32" s="7"/>
      <c r="L32" s="7"/>
      <c r="P32" s="7"/>
      <c r="Q32" s="7"/>
      <c r="R32" s="7"/>
      <c r="S32" s="7"/>
    </row>
    <row r="33" spans="1:19" x14ac:dyDescent="0.2">
      <c r="A33">
        <v>54837</v>
      </c>
      <c r="B33" t="s">
        <v>10</v>
      </c>
      <c r="C33" t="s">
        <v>40</v>
      </c>
      <c r="D33" t="s">
        <v>37</v>
      </c>
      <c r="E33" s="3">
        <v>22965</v>
      </c>
      <c r="F33" s="3">
        <v>36892</v>
      </c>
      <c r="G33" s="6">
        <v>64069.59</v>
      </c>
      <c r="H33" s="6">
        <v>29994.639999999999</v>
      </c>
      <c r="I33" s="6">
        <v>70702.22</v>
      </c>
      <c r="J33" s="6">
        <v>22097.32</v>
      </c>
      <c r="K33" s="7"/>
      <c r="L33" s="7"/>
      <c r="P33" s="7"/>
      <c r="Q33" s="7"/>
      <c r="R33" s="7"/>
      <c r="S33" s="7"/>
    </row>
    <row r="34" spans="1:19" x14ac:dyDescent="0.2">
      <c r="A34">
        <v>68621</v>
      </c>
      <c r="B34" t="s">
        <v>10</v>
      </c>
      <c r="C34" t="s">
        <v>41</v>
      </c>
      <c r="D34" t="s">
        <v>18</v>
      </c>
      <c r="E34" s="3">
        <v>23244</v>
      </c>
      <c r="F34" s="3">
        <v>34162</v>
      </c>
      <c r="G34" s="6">
        <v>136196.10999999999</v>
      </c>
      <c r="H34" s="6">
        <v>28160.31</v>
      </c>
      <c r="I34" s="6">
        <v>174200.52</v>
      </c>
      <c r="J34" s="6">
        <v>71184.039999999994</v>
      </c>
      <c r="K34" s="7"/>
      <c r="L34" s="7"/>
      <c r="P34" s="7"/>
      <c r="Q34" s="7"/>
      <c r="R34" s="7"/>
      <c r="S34" s="7"/>
    </row>
    <row r="35" spans="1:19" x14ac:dyDescent="0.2">
      <c r="A35">
        <v>78035</v>
      </c>
      <c r="B35" t="s">
        <v>10</v>
      </c>
      <c r="C35" t="s">
        <v>42</v>
      </c>
      <c r="D35" t="s">
        <v>24</v>
      </c>
      <c r="E35" s="3">
        <v>23159</v>
      </c>
      <c r="F35" s="3">
        <v>33889</v>
      </c>
      <c r="G35" s="6">
        <v>63682.03</v>
      </c>
      <c r="H35" s="6">
        <v>28104.9</v>
      </c>
      <c r="I35" s="6">
        <v>56729.74</v>
      </c>
      <c r="J35" s="6">
        <v>29180.03</v>
      </c>
      <c r="K35" s="7"/>
      <c r="L35" s="7"/>
      <c r="P35" s="7"/>
      <c r="Q35" s="7"/>
      <c r="R35" s="7"/>
      <c r="S35" s="7"/>
    </row>
    <row r="36" spans="1:19" x14ac:dyDescent="0.2">
      <c r="A36">
        <v>34374</v>
      </c>
      <c r="B36" t="s">
        <v>10</v>
      </c>
      <c r="C36" t="s">
        <v>43</v>
      </c>
      <c r="D36" t="s">
        <v>12</v>
      </c>
      <c r="E36" s="3">
        <v>23090</v>
      </c>
      <c r="F36" s="3">
        <v>34841</v>
      </c>
      <c r="G36" s="6">
        <v>77509.27</v>
      </c>
      <c r="H36" s="6">
        <v>32595.17</v>
      </c>
      <c r="I36" s="6">
        <v>96710.42</v>
      </c>
      <c r="J36" s="6">
        <v>34950.800000000003</v>
      </c>
      <c r="K36" s="7"/>
      <c r="L36" s="7"/>
      <c r="P36" s="7"/>
      <c r="Q36" s="7"/>
      <c r="R36" s="7"/>
      <c r="S36" s="7"/>
    </row>
    <row r="37" spans="1:19" x14ac:dyDescent="0.2">
      <c r="A37">
        <v>67280</v>
      </c>
      <c r="B37" t="s">
        <v>10</v>
      </c>
      <c r="C37" t="s">
        <v>44</v>
      </c>
      <c r="D37" t="s">
        <v>12</v>
      </c>
      <c r="E37" s="3">
        <v>22919</v>
      </c>
      <c r="F37" s="3">
        <v>38285</v>
      </c>
      <c r="G37" s="6">
        <v>42137.599999999999</v>
      </c>
      <c r="H37" s="6">
        <v>25498.71</v>
      </c>
      <c r="I37" s="6">
        <v>56126.23</v>
      </c>
      <c r="J37" s="6">
        <v>13115.71</v>
      </c>
      <c r="K37" s="7"/>
      <c r="L37" s="7"/>
      <c r="P37" s="7"/>
      <c r="Q37" s="7"/>
      <c r="R37" s="7"/>
      <c r="S37" s="7"/>
    </row>
    <row r="38" spans="1:19" x14ac:dyDescent="0.2">
      <c r="A38">
        <v>10440</v>
      </c>
      <c r="B38" t="s">
        <v>10</v>
      </c>
      <c r="C38" t="s">
        <v>46</v>
      </c>
      <c r="D38" t="s">
        <v>19</v>
      </c>
      <c r="E38" s="3">
        <v>22951</v>
      </c>
      <c r="F38" s="3">
        <v>36678</v>
      </c>
      <c r="G38" s="6">
        <v>44236.56</v>
      </c>
      <c r="H38" s="6">
        <v>25337.86</v>
      </c>
      <c r="I38" s="6">
        <v>55782.09</v>
      </c>
      <c r="J38" s="6">
        <v>17890.03</v>
      </c>
      <c r="K38" s="7"/>
      <c r="L38" s="7"/>
      <c r="P38" s="7"/>
      <c r="Q38" s="7"/>
      <c r="R38" s="7"/>
      <c r="S38" s="7"/>
    </row>
    <row r="39" spans="1:19" x14ac:dyDescent="0.2">
      <c r="A39">
        <v>84152</v>
      </c>
      <c r="B39" t="s">
        <v>10</v>
      </c>
      <c r="C39" t="s">
        <v>48</v>
      </c>
      <c r="D39" t="s">
        <v>80</v>
      </c>
      <c r="E39" s="3">
        <v>23081</v>
      </c>
      <c r="F39" s="3">
        <v>34197</v>
      </c>
      <c r="G39" s="6">
        <v>82311.69</v>
      </c>
      <c r="H39" s="6">
        <v>28279.96</v>
      </c>
      <c r="I39" s="6">
        <v>110191.66</v>
      </c>
      <c r="J39" s="6">
        <v>46171.01</v>
      </c>
      <c r="K39" s="7"/>
      <c r="L39" s="7"/>
      <c r="P39" s="7"/>
      <c r="Q39" s="7"/>
      <c r="R39" s="7"/>
      <c r="S39" s="7"/>
    </row>
    <row r="40" spans="1:19" x14ac:dyDescent="0.2">
      <c r="A40">
        <v>81632</v>
      </c>
      <c r="B40" t="s">
        <v>10</v>
      </c>
      <c r="C40" t="s">
        <v>49</v>
      </c>
      <c r="D40" t="s">
        <v>37</v>
      </c>
      <c r="E40" s="3">
        <v>23595</v>
      </c>
      <c r="F40" s="3">
        <v>32729</v>
      </c>
      <c r="G40" s="6">
        <v>82530.91</v>
      </c>
      <c r="H40" s="6">
        <v>22345.67</v>
      </c>
      <c r="I40" s="6">
        <v>89268.57</v>
      </c>
      <c r="J40" s="6">
        <v>46962.79</v>
      </c>
      <c r="K40" s="7"/>
      <c r="L40" s="7"/>
      <c r="P40" s="7"/>
      <c r="Q40" s="7"/>
      <c r="R40" s="7"/>
      <c r="S40" s="7"/>
    </row>
    <row r="41" spans="1:19" x14ac:dyDescent="0.2">
      <c r="A41">
        <v>59322</v>
      </c>
      <c r="B41" t="s">
        <v>10</v>
      </c>
      <c r="C41" t="s">
        <v>50</v>
      </c>
      <c r="D41" t="s">
        <v>26</v>
      </c>
      <c r="E41" s="3">
        <v>23343</v>
      </c>
      <c r="F41" s="3">
        <v>36269</v>
      </c>
      <c r="G41" s="6">
        <v>67224.61</v>
      </c>
      <c r="H41" s="6">
        <v>21819.18</v>
      </c>
      <c r="I41" s="6">
        <v>73278.84</v>
      </c>
      <c r="J41" s="6">
        <v>26398.75</v>
      </c>
      <c r="K41" s="7"/>
      <c r="L41" s="7"/>
      <c r="P41" s="7"/>
      <c r="Q41" s="7"/>
      <c r="R41" s="7"/>
      <c r="S41" s="7"/>
    </row>
    <row r="42" spans="1:19" x14ac:dyDescent="0.2">
      <c r="A42">
        <v>47437</v>
      </c>
      <c r="B42" t="s">
        <v>10</v>
      </c>
      <c r="C42" t="s">
        <v>51</v>
      </c>
      <c r="D42" t="s">
        <v>81</v>
      </c>
      <c r="E42" s="3">
        <v>23528</v>
      </c>
      <c r="F42" s="3">
        <v>35002</v>
      </c>
      <c r="G42" s="6">
        <v>68989.98</v>
      </c>
      <c r="H42" s="6">
        <v>20881.07</v>
      </c>
      <c r="I42" s="6">
        <v>68992.460000000006</v>
      </c>
      <c r="J42" s="6">
        <v>28765.82</v>
      </c>
      <c r="K42" s="7"/>
      <c r="L42" s="7"/>
      <c r="P42" s="7"/>
      <c r="Q42" s="7"/>
      <c r="R42" s="7"/>
      <c r="S42" s="7"/>
    </row>
    <row r="43" spans="1:19" x14ac:dyDescent="0.2">
      <c r="A43">
        <v>92290</v>
      </c>
      <c r="B43" t="s">
        <v>10</v>
      </c>
      <c r="C43" t="s">
        <v>52</v>
      </c>
      <c r="D43" t="s">
        <v>79</v>
      </c>
      <c r="E43" s="3">
        <v>23544</v>
      </c>
      <c r="F43" s="3">
        <v>36164</v>
      </c>
      <c r="G43" s="6">
        <v>64551.33</v>
      </c>
      <c r="H43" s="6">
        <v>30982.91</v>
      </c>
      <c r="I43" s="6">
        <v>82929.33</v>
      </c>
      <c r="J43" s="6">
        <v>24384.959999999999</v>
      </c>
      <c r="K43" s="7"/>
      <c r="L43" s="7"/>
      <c r="P43" s="7"/>
      <c r="Q43" s="7"/>
      <c r="R43" s="7"/>
      <c r="S43" s="7"/>
    </row>
    <row r="44" spans="1:19" x14ac:dyDescent="0.2">
      <c r="A44">
        <v>51893</v>
      </c>
      <c r="B44" t="s">
        <v>10</v>
      </c>
      <c r="C44" t="s">
        <v>53</v>
      </c>
      <c r="D44" t="s">
        <v>37</v>
      </c>
      <c r="E44" s="3">
        <v>23424</v>
      </c>
      <c r="F44" s="3">
        <v>35037</v>
      </c>
      <c r="G44" s="6">
        <v>135594.54</v>
      </c>
      <c r="H44" s="6">
        <v>23760.95</v>
      </c>
      <c r="I44" s="6">
        <v>178834.38</v>
      </c>
      <c r="J44" s="6">
        <v>62389.5</v>
      </c>
      <c r="K44" s="7"/>
      <c r="L44" s="7"/>
      <c r="P44" s="7"/>
      <c r="Q44" s="7"/>
      <c r="R44" s="7"/>
      <c r="S44" s="7"/>
    </row>
    <row r="45" spans="1:19" x14ac:dyDescent="0.2">
      <c r="A45">
        <v>42024</v>
      </c>
      <c r="B45" t="s">
        <v>10</v>
      </c>
      <c r="C45" t="s">
        <v>54</v>
      </c>
      <c r="D45" t="s">
        <v>18</v>
      </c>
      <c r="E45" s="3">
        <v>23411</v>
      </c>
      <c r="F45" s="3">
        <v>37466</v>
      </c>
      <c r="G45" s="6">
        <v>56876.17</v>
      </c>
      <c r="H45" s="6">
        <v>28659.360000000001</v>
      </c>
      <c r="I45" s="6">
        <v>74002.62</v>
      </c>
      <c r="J45" s="6">
        <v>17926.439999999999</v>
      </c>
      <c r="K45" s="7"/>
      <c r="L45" s="7"/>
      <c r="P45" s="7"/>
      <c r="Q45" s="7"/>
      <c r="R45" s="7"/>
      <c r="S45" s="7"/>
    </row>
    <row r="46" spans="1:19" x14ac:dyDescent="0.2">
      <c r="A46">
        <v>55367</v>
      </c>
      <c r="B46" t="s">
        <v>16</v>
      </c>
      <c r="C46" t="s">
        <v>55</v>
      </c>
      <c r="D46" t="s">
        <v>74</v>
      </c>
      <c r="E46" s="3">
        <v>23264</v>
      </c>
      <c r="F46" s="3">
        <v>39342</v>
      </c>
      <c r="G46" s="6">
        <v>52071.37</v>
      </c>
      <c r="H46" s="6">
        <v>29190.19</v>
      </c>
      <c r="I46" s="6">
        <v>148464.64000000001</v>
      </c>
      <c r="J46" s="6">
        <v>14351.13</v>
      </c>
      <c r="K46" s="7"/>
      <c r="L46" s="7"/>
      <c r="P46" s="7"/>
      <c r="Q46" s="7"/>
      <c r="R46" s="7"/>
      <c r="S46" s="7"/>
    </row>
    <row r="47" spans="1:19" x14ac:dyDescent="0.2">
      <c r="A47">
        <v>8754</v>
      </c>
      <c r="B47" t="s">
        <v>10</v>
      </c>
      <c r="C47" t="s">
        <v>57</v>
      </c>
      <c r="D47" t="s">
        <v>14</v>
      </c>
      <c r="E47" s="3">
        <v>23742</v>
      </c>
      <c r="F47" s="3">
        <v>31893</v>
      </c>
      <c r="G47" s="6">
        <v>77230.75</v>
      </c>
      <c r="H47" s="6">
        <v>43090.54</v>
      </c>
      <c r="I47" s="6">
        <v>74483.22</v>
      </c>
      <c r="J47" s="6">
        <v>44666.68</v>
      </c>
      <c r="K47" s="7"/>
      <c r="L47" s="7"/>
      <c r="P47" s="7"/>
      <c r="Q47" s="7"/>
      <c r="R47" s="7"/>
      <c r="S47" s="7"/>
    </row>
    <row r="48" spans="1:19" x14ac:dyDescent="0.2">
      <c r="A48">
        <v>30448</v>
      </c>
      <c r="B48" t="s">
        <v>10</v>
      </c>
      <c r="C48" t="s">
        <v>58</v>
      </c>
      <c r="D48" t="s">
        <v>16</v>
      </c>
      <c r="E48" s="3">
        <v>23812</v>
      </c>
      <c r="F48" s="3">
        <v>36990</v>
      </c>
      <c r="G48" s="6">
        <v>63493.279999999999</v>
      </c>
      <c r="H48" s="6">
        <v>26204.14</v>
      </c>
      <c r="I48" s="6">
        <v>72795.63</v>
      </c>
      <c r="J48" s="6">
        <v>22278.11</v>
      </c>
      <c r="K48" s="7"/>
      <c r="L48" s="7"/>
      <c r="P48" s="7"/>
      <c r="Q48" s="7"/>
      <c r="R48" s="7"/>
      <c r="S48" s="7"/>
    </row>
    <row r="49" spans="1:19" x14ac:dyDescent="0.2">
      <c r="A49">
        <v>86008</v>
      </c>
      <c r="B49" t="s">
        <v>10</v>
      </c>
      <c r="C49" t="s">
        <v>59</v>
      </c>
      <c r="D49" t="s">
        <v>39</v>
      </c>
      <c r="E49" s="3">
        <v>24001</v>
      </c>
      <c r="F49" s="3">
        <v>36770</v>
      </c>
      <c r="G49" s="6">
        <v>109676.39</v>
      </c>
      <c r="H49" s="6">
        <v>18593</v>
      </c>
      <c r="I49" s="6">
        <v>139023.74</v>
      </c>
      <c r="J49" s="6">
        <v>35220.410000000003</v>
      </c>
      <c r="K49" s="7"/>
      <c r="L49" s="7"/>
      <c r="P49" s="7"/>
      <c r="Q49" s="7"/>
      <c r="R49" s="7"/>
      <c r="S49" s="7"/>
    </row>
    <row r="50" spans="1:19" x14ac:dyDescent="0.2">
      <c r="A50">
        <v>60596</v>
      </c>
      <c r="B50" t="s">
        <v>10</v>
      </c>
      <c r="C50" t="s">
        <v>60</v>
      </c>
      <c r="D50" t="s">
        <v>14</v>
      </c>
      <c r="E50" s="3">
        <v>24133</v>
      </c>
      <c r="F50" s="3">
        <v>33700</v>
      </c>
      <c r="G50" s="6">
        <v>71365.02</v>
      </c>
      <c r="H50" s="6">
        <v>31982.48</v>
      </c>
      <c r="I50" s="6">
        <v>71158.47</v>
      </c>
      <c r="J50" s="6">
        <v>34848.01</v>
      </c>
      <c r="K50" s="7"/>
      <c r="L50" s="7"/>
      <c r="P50" s="7"/>
      <c r="Q50" s="7"/>
      <c r="R50" s="7"/>
      <c r="S50" s="7"/>
    </row>
    <row r="51" spans="1:19" x14ac:dyDescent="0.2">
      <c r="A51">
        <v>75535</v>
      </c>
      <c r="B51" t="s">
        <v>10</v>
      </c>
      <c r="C51" t="s">
        <v>61</v>
      </c>
      <c r="D51" t="s">
        <v>37</v>
      </c>
      <c r="E51" s="3">
        <v>24098</v>
      </c>
      <c r="F51" s="3">
        <v>34834</v>
      </c>
      <c r="G51" s="6">
        <v>62382.49</v>
      </c>
      <c r="H51" s="6">
        <v>28325.360000000001</v>
      </c>
      <c r="I51" s="6">
        <v>63530.81</v>
      </c>
      <c r="J51" s="6">
        <v>27849.49</v>
      </c>
      <c r="K51" s="7"/>
      <c r="L51" s="7"/>
      <c r="P51" s="7"/>
      <c r="Q51" s="7"/>
      <c r="R51" s="7"/>
      <c r="S51" s="7"/>
    </row>
    <row r="52" spans="1:19" x14ac:dyDescent="0.2">
      <c r="A52">
        <v>62157</v>
      </c>
      <c r="B52" t="s">
        <v>10</v>
      </c>
      <c r="C52" t="s">
        <v>62</v>
      </c>
      <c r="D52" t="s">
        <v>12</v>
      </c>
      <c r="E52" s="3">
        <v>24106</v>
      </c>
      <c r="F52" s="3">
        <v>35238</v>
      </c>
      <c r="G52" s="6">
        <v>68051.19</v>
      </c>
      <c r="H52" s="6">
        <v>25014.94</v>
      </c>
      <c r="I52" s="6">
        <v>69180.509999999995</v>
      </c>
      <c r="J52" s="6">
        <v>28299.63</v>
      </c>
      <c r="K52" s="7"/>
      <c r="L52" s="7"/>
      <c r="P52" s="7"/>
      <c r="Q52" s="7"/>
      <c r="R52" s="7"/>
      <c r="S52" s="7"/>
    </row>
    <row r="53" spans="1:19" x14ac:dyDescent="0.2">
      <c r="A53">
        <v>62464</v>
      </c>
      <c r="B53" t="s">
        <v>10</v>
      </c>
      <c r="C53" t="s">
        <v>63</v>
      </c>
      <c r="D53" t="s">
        <v>19</v>
      </c>
      <c r="E53" s="3">
        <v>24093</v>
      </c>
      <c r="F53" s="3">
        <v>39356</v>
      </c>
      <c r="G53" s="6">
        <v>27635.46</v>
      </c>
      <c r="H53" s="6">
        <v>37274.949999999997</v>
      </c>
      <c r="I53" s="6">
        <v>53969.36</v>
      </c>
      <c r="J53" s="6">
        <v>7039.14</v>
      </c>
      <c r="K53" s="7"/>
      <c r="L53" s="7"/>
      <c r="P53" s="7"/>
      <c r="Q53" s="7"/>
      <c r="R53" s="7"/>
      <c r="S53" s="7"/>
    </row>
    <row r="54" spans="1:19" x14ac:dyDescent="0.2">
      <c r="A54">
        <v>72440</v>
      </c>
      <c r="B54" t="s">
        <v>10</v>
      </c>
      <c r="C54" t="s">
        <v>64</v>
      </c>
      <c r="D54" t="s">
        <v>80</v>
      </c>
      <c r="E54" s="3">
        <v>24282</v>
      </c>
      <c r="F54" s="3">
        <v>32839</v>
      </c>
      <c r="G54" s="6">
        <v>118046.61</v>
      </c>
      <c r="H54" s="6">
        <v>39183.99</v>
      </c>
      <c r="I54" s="6">
        <v>158422.62</v>
      </c>
      <c r="J54" s="6">
        <v>76168.11</v>
      </c>
      <c r="K54" s="7"/>
      <c r="L54" s="7"/>
      <c r="P54" s="7"/>
      <c r="Q54" s="7"/>
      <c r="R54" s="7"/>
      <c r="S54" s="7"/>
    </row>
    <row r="55" spans="1:19" x14ac:dyDescent="0.2">
      <c r="P55" s="7"/>
      <c r="Q55" s="7"/>
      <c r="R55" s="7"/>
      <c r="S55" s="7"/>
    </row>
    <row r="56" spans="1:19" x14ac:dyDescent="0.2">
      <c r="P56" s="7"/>
      <c r="Q56" s="7"/>
      <c r="R56" s="7"/>
      <c r="S56" s="7"/>
    </row>
    <row r="57" spans="1:19" x14ac:dyDescent="0.2">
      <c r="P57" s="7"/>
      <c r="Q57" s="7"/>
      <c r="R57" s="7"/>
      <c r="S57" s="7"/>
    </row>
    <row r="58" spans="1:19" x14ac:dyDescent="0.2">
      <c r="P58" s="7"/>
      <c r="Q58" s="7"/>
      <c r="R58" s="7"/>
      <c r="S58" s="7"/>
    </row>
    <row r="59" spans="1:19" x14ac:dyDescent="0.2">
      <c r="P59" s="7"/>
      <c r="Q59" s="7"/>
      <c r="R59" s="7"/>
      <c r="S59" s="7"/>
    </row>
    <row r="60" spans="1:19" x14ac:dyDescent="0.2">
      <c r="P60" s="7"/>
      <c r="Q60" s="7"/>
      <c r="R60" s="7"/>
      <c r="S60" s="7"/>
    </row>
    <row r="61" spans="1:19" x14ac:dyDescent="0.2">
      <c r="P61" s="7"/>
      <c r="Q61" s="7"/>
      <c r="R61" s="7"/>
      <c r="S61" s="7"/>
    </row>
    <row r="62" spans="1:19" x14ac:dyDescent="0.2">
      <c r="P62" s="7"/>
      <c r="Q62" s="7"/>
      <c r="R62" s="7"/>
      <c r="S62" s="7"/>
    </row>
  </sheetData>
  <autoFilter ref="A4:J5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workbookViewId="0"/>
  </sheetViews>
  <sheetFormatPr defaultRowHeight="12.75" x14ac:dyDescent="0.2"/>
  <cols>
    <col min="1" max="1" width="22" bestFit="1" customWidth="1"/>
    <col min="2" max="2" width="15.7109375" bestFit="1" customWidth="1"/>
    <col min="3" max="3" width="21.42578125" bestFit="1" customWidth="1"/>
    <col min="4" max="4" width="15.85546875" bestFit="1" customWidth="1"/>
  </cols>
  <sheetData>
    <row r="1" spans="1:5" x14ac:dyDescent="0.2">
      <c r="A1" s="4" t="s">
        <v>82</v>
      </c>
    </row>
    <row r="3" spans="1:5" x14ac:dyDescent="0.2">
      <c r="A3" t="s">
        <v>100</v>
      </c>
      <c r="B3" s="3">
        <v>42735</v>
      </c>
      <c r="C3" s="13" t="s">
        <v>90</v>
      </c>
    </row>
    <row r="4" spans="1:5" x14ac:dyDescent="0.2">
      <c r="A4" t="s">
        <v>83</v>
      </c>
      <c r="B4" s="3">
        <v>43465</v>
      </c>
      <c r="C4" s="13" t="s">
        <v>91</v>
      </c>
    </row>
    <row r="6" spans="1:5" ht="25.5" x14ac:dyDescent="0.2">
      <c r="A6" s="5" t="s">
        <v>102</v>
      </c>
      <c r="B6" s="29">
        <v>1000000</v>
      </c>
      <c r="C6" s="13" t="s">
        <v>92</v>
      </c>
    </row>
    <row r="7" spans="1:5" x14ac:dyDescent="0.2">
      <c r="A7" t="s">
        <v>97</v>
      </c>
      <c r="B7">
        <v>20</v>
      </c>
      <c r="C7" s="13" t="s">
        <v>98</v>
      </c>
    </row>
    <row r="8" spans="1:5" x14ac:dyDescent="0.2">
      <c r="C8" s="13"/>
    </row>
    <row r="9" spans="1:5" x14ac:dyDescent="0.2">
      <c r="A9" t="s">
        <v>89</v>
      </c>
      <c r="B9" s="1">
        <v>0.03</v>
      </c>
      <c r="C9" s="13" t="s">
        <v>93</v>
      </c>
      <c r="D9" s="1"/>
      <c r="E9" s="13"/>
    </row>
    <row r="10" spans="1:5" x14ac:dyDescent="0.2">
      <c r="A10" t="s">
        <v>109</v>
      </c>
      <c r="B10" s="1">
        <v>0.04</v>
      </c>
      <c r="C10" s="13" t="s">
        <v>110</v>
      </c>
      <c r="D10" s="1"/>
      <c r="E10" s="13"/>
    </row>
    <row r="12" spans="1:5" x14ac:dyDescent="0.2">
      <c r="A12" t="s">
        <v>84</v>
      </c>
      <c r="B12" s="9">
        <v>5.5E-2</v>
      </c>
      <c r="C12" s="13" t="s">
        <v>94</v>
      </c>
    </row>
    <row r="14" spans="1:5" x14ac:dyDescent="0.2">
      <c r="A14" t="s">
        <v>1</v>
      </c>
      <c r="B14" s="23">
        <v>1.4999999999999999E-2</v>
      </c>
      <c r="C14" s="13" t="s">
        <v>95</v>
      </c>
    </row>
    <row r="16" spans="1:5" x14ac:dyDescent="0.2">
      <c r="A16" t="s">
        <v>4</v>
      </c>
      <c r="B16" t="s">
        <v>5</v>
      </c>
      <c r="C16" t="s">
        <v>6</v>
      </c>
      <c r="D16" t="s">
        <v>7</v>
      </c>
      <c r="E16" s="13" t="s">
        <v>96</v>
      </c>
    </row>
    <row r="17" spans="1:4" x14ac:dyDescent="0.2">
      <c r="A17">
        <v>0</v>
      </c>
      <c r="B17" s="2">
        <v>0.02</v>
      </c>
      <c r="C17" s="2">
        <v>0.02</v>
      </c>
      <c r="D17" s="2">
        <v>0.04</v>
      </c>
    </row>
    <row r="18" spans="1:4" x14ac:dyDescent="0.2">
      <c r="A18">
        <v>30</v>
      </c>
      <c r="B18" s="2">
        <v>0.02</v>
      </c>
      <c r="C18" s="2">
        <v>0.03</v>
      </c>
      <c r="D18" s="2">
        <v>0.05</v>
      </c>
    </row>
    <row r="19" spans="1:4" x14ac:dyDescent="0.2">
      <c r="A19">
        <v>40</v>
      </c>
      <c r="B19" s="2">
        <v>0.03</v>
      </c>
      <c r="C19" s="2">
        <v>0.04</v>
      </c>
      <c r="D19" s="2">
        <v>7.0000000000000007E-2</v>
      </c>
    </row>
    <row r="20" spans="1:4" x14ac:dyDescent="0.2">
      <c r="A20">
        <v>50</v>
      </c>
      <c r="B20" s="2">
        <v>0.04</v>
      </c>
      <c r="C20" s="2">
        <v>0.05</v>
      </c>
      <c r="D20" s="2">
        <v>0.09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5"/>
  <sheetViews>
    <sheetView workbookViewId="0"/>
  </sheetViews>
  <sheetFormatPr defaultRowHeight="12.75" x14ac:dyDescent="0.2"/>
  <cols>
    <col min="1" max="1" width="13.28515625" customWidth="1"/>
    <col min="2" max="2" width="10.140625" bestFit="1" customWidth="1"/>
    <col min="3" max="3" width="8.42578125" bestFit="1" customWidth="1"/>
    <col min="4" max="4" width="13.5703125" bestFit="1" customWidth="1"/>
    <col min="5" max="5" width="11.28515625" bestFit="1" customWidth="1"/>
    <col min="6" max="6" width="18.5703125" bestFit="1" customWidth="1"/>
    <col min="7" max="7" width="18.5703125" customWidth="1"/>
    <col min="8" max="8" width="17.5703125" bestFit="1" customWidth="1"/>
    <col min="9" max="9" width="21.42578125" bestFit="1" customWidth="1"/>
    <col min="10" max="10" width="12" bestFit="1" customWidth="1"/>
    <col min="11" max="12" width="17.85546875" bestFit="1" customWidth="1"/>
    <col min="13" max="13" width="16" bestFit="1" customWidth="1"/>
    <col min="14" max="14" width="23.28515625" bestFit="1" customWidth="1"/>
    <col min="15" max="15" width="20.5703125" customWidth="1"/>
    <col min="16" max="16" width="17.5703125" customWidth="1"/>
    <col min="17" max="17" width="13.7109375" bestFit="1" customWidth="1"/>
    <col min="18" max="18" width="13.7109375" customWidth="1"/>
    <col min="19" max="19" width="18" bestFit="1" customWidth="1"/>
    <col min="20" max="20" width="17.28515625" bestFit="1" customWidth="1"/>
    <col min="21" max="21" width="21.42578125" bestFit="1" customWidth="1"/>
  </cols>
  <sheetData>
    <row r="1" spans="1:21" x14ac:dyDescent="0.2">
      <c r="A1" s="4" t="s">
        <v>111</v>
      </c>
    </row>
    <row r="3" spans="1:21" s="12" customFormat="1" x14ac:dyDescent="0.2">
      <c r="D3" s="30" t="s">
        <v>112</v>
      </c>
      <c r="E3" s="31"/>
      <c r="F3" s="31"/>
      <c r="G3" s="31"/>
      <c r="H3" s="31"/>
      <c r="I3" s="32"/>
    </row>
    <row r="4" spans="1:21" s="21" customFormat="1" ht="38.25" x14ac:dyDescent="0.2">
      <c r="A4" s="21" t="s">
        <v>103</v>
      </c>
      <c r="B4" s="21" t="s">
        <v>128</v>
      </c>
      <c r="C4" s="21" t="s">
        <v>0</v>
      </c>
      <c r="D4" s="27" t="s">
        <v>2</v>
      </c>
      <c r="E4" s="21" t="s">
        <v>108</v>
      </c>
      <c r="F4" s="21" t="s">
        <v>86</v>
      </c>
      <c r="G4" s="21" t="s">
        <v>113</v>
      </c>
      <c r="H4" s="21" t="s">
        <v>114</v>
      </c>
      <c r="I4" s="28" t="s">
        <v>115</v>
      </c>
      <c r="J4" s="21" t="s">
        <v>1</v>
      </c>
      <c r="K4" s="21" t="s">
        <v>104</v>
      </c>
      <c r="L4" s="21" t="s">
        <v>117</v>
      </c>
      <c r="M4" s="21" t="s">
        <v>105</v>
      </c>
      <c r="N4" s="21" t="s">
        <v>118</v>
      </c>
      <c r="O4" s="21" t="s">
        <v>119</v>
      </c>
      <c r="P4" s="21" t="s">
        <v>123</v>
      </c>
      <c r="Q4" s="21" t="s">
        <v>88</v>
      </c>
      <c r="R4" s="21" t="s">
        <v>125</v>
      </c>
      <c r="S4" s="21" t="s">
        <v>120</v>
      </c>
      <c r="T4" s="21" t="s">
        <v>121</v>
      </c>
      <c r="U4" s="21" t="s">
        <v>122</v>
      </c>
    </row>
    <row r="5" spans="1:21" x14ac:dyDescent="0.2">
      <c r="A5" s="24">
        <v>92665</v>
      </c>
      <c r="B5" s="3">
        <f t="shared" ref="B5:B15" si="0">VLOOKUP(A5,val_data,5,FALSE)</f>
        <v>27422</v>
      </c>
      <c r="C5" s="8">
        <f t="shared" ref="C5:C15" si="1">(val_date-B5)/365.25</f>
        <v>41.924709103353869</v>
      </c>
      <c r="D5" s="15">
        <f t="shared" ref="D5:D15" si="2">VLOOKUP(A5,val_data,10,FALSE)</f>
        <v>41596.019999999997</v>
      </c>
      <c r="E5" s="14">
        <f t="shared" ref="E5:E15" si="3">VLOOKUP(A5,val_data,8,FALSE)</f>
        <v>32398.12</v>
      </c>
      <c r="F5" s="14">
        <f t="shared" ref="F5:F15" si="4">VLOOKUP(A5,val_data,9,FALSE)</f>
        <v>222238.49</v>
      </c>
      <c r="G5" s="14">
        <f t="shared" ref="G5:G15" si="5">pen_fac*D5+E5</f>
        <v>864318.5199999999</v>
      </c>
      <c r="H5" s="25">
        <f t="shared" ref="H5:H15" si="6">gov_allow</f>
        <v>1000000</v>
      </c>
      <c r="I5" s="26" t="str">
        <f>IF(H5&lt;G5,"Exceeds","Below")</f>
        <v>Below</v>
      </c>
      <c r="J5" s="20">
        <f t="shared" ref="J5:J15" si="7">accrual</f>
        <v>1.4999999999999999E-2</v>
      </c>
      <c r="K5" s="6">
        <f t="shared" ref="K5:K15" si="8">F5*(1+inflB)</f>
        <v>231128.02960000001</v>
      </c>
      <c r="L5" s="6">
        <f t="shared" ref="L5:L15" si="9">K5*(1+inflB)</f>
        <v>240373.15078400003</v>
      </c>
      <c r="M5" s="6">
        <f t="shared" ref="M5:M15" si="10">J5*K5*(1+inflA)+J5*L5</f>
        <v>7176.5253190800004</v>
      </c>
      <c r="N5" s="7">
        <f t="shared" ref="N5:N15" si="11">D5*(1+inflA)^2</f>
        <v>44129.217617999995</v>
      </c>
      <c r="O5" s="7">
        <f>M5+N5</f>
        <v>51305.742937079995</v>
      </c>
      <c r="P5" s="6">
        <f t="shared" ref="P5:P15" si="12">E5*(1+inv_ret)^2</f>
        <v>36059.917512999993</v>
      </c>
      <c r="Q5" s="6">
        <f>VLOOKUP(C5,conts,4,TRUE)*K5*(1+inv_ret)^1.5+VLOOKUP(C5+1,conts,4,TRUE)*L5*(1+inv_ret)^0.5</f>
        <v>34814.560261148465</v>
      </c>
      <c r="R5" s="6">
        <f>P5+Q5</f>
        <v>70874.477774148458</v>
      </c>
      <c r="S5" s="7">
        <f t="shared" ref="S5:S15" si="13">O5*pen_fac+R5</f>
        <v>1096989.3365157484</v>
      </c>
      <c r="T5" s="7">
        <f t="shared" ref="T5:T15" si="14">gov_allow*(1+inflA)^2</f>
        <v>1060900</v>
      </c>
      <c r="U5" s="11" t="str">
        <f>IF(T5&lt;S5,"Exceeds","Below")</f>
        <v>Exceeds</v>
      </c>
    </row>
    <row r="6" spans="1:21" x14ac:dyDescent="0.2">
      <c r="A6" s="24">
        <v>66345</v>
      </c>
      <c r="B6" s="3">
        <f t="shared" si="0"/>
        <v>25019</v>
      </c>
      <c r="C6" s="8">
        <f t="shared" si="1"/>
        <v>48.503764544832308</v>
      </c>
      <c r="D6" s="15">
        <f t="shared" si="2"/>
        <v>44887</v>
      </c>
      <c r="E6" s="14">
        <f t="shared" si="3"/>
        <v>45143.13</v>
      </c>
      <c r="F6" s="14">
        <f t="shared" si="4"/>
        <v>136440.63</v>
      </c>
      <c r="G6" s="14">
        <f t="shared" si="5"/>
        <v>942883.13</v>
      </c>
      <c r="H6" s="25">
        <f t="shared" si="6"/>
        <v>1000000</v>
      </c>
      <c r="I6" s="26" t="str">
        <f t="shared" ref="I6:I15" si="15">IF(H6&lt;G6,"Exceeds","Below")</f>
        <v>Below</v>
      </c>
      <c r="J6" s="20">
        <f t="shared" si="7"/>
        <v>1.4999999999999999E-2</v>
      </c>
      <c r="K6" s="6">
        <f t="shared" si="8"/>
        <v>141898.25520000001</v>
      </c>
      <c r="L6" s="6">
        <f t="shared" si="9"/>
        <v>147574.18540800002</v>
      </c>
      <c r="M6" s="6">
        <f t="shared" si="10"/>
        <v>4405.9408239600007</v>
      </c>
      <c r="N6" s="7">
        <f t="shared" si="11"/>
        <v>47620.618299999995</v>
      </c>
      <c r="O6" s="7">
        <f t="shared" ref="O6:O15" si="16">M6+N6</f>
        <v>52026.559123959996</v>
      </c>
      <c r="P6" s="6">
        <f t="shared" si="12"/>
        <v>50245.432268249991</v>
      </c>
      <c r="Q6" s="6">
        <f t="shared" ref="Q6:Q15" si="17">VLOOKUP(C6,conts,4,TRUE)*K6*(1+inv_ret)^1.5+VLOOKUP(C6+1,conts,4,TRUE)*L6*(1+inv_ret)^0.5</f>
        <v>21373.977726378816</v>
      </c>
      <c r="R6" s="6">
        <f t="shared" ref="R6:R15" si="18">P6+Q6</f>
        <v>71619.409994628804</v>
      </c>
      <c r="S6" s="7">
        <f t="shared" si="13"/>
        <v>1112150.5924738287</v>
      </c>
      <c r="T6" s="7">
        <f t="shared" si="14"/>
        <v>1060900</v>
      </c>
      <c r="U6" s="11" t="str">
        <f t="shared" ref="U6:U15" si="19">IF(T6&lt;S6,"Exceeds","Below")</f>
        <v>Exceeds</v>
      </c>
    </row>
    <row r="7" spans="1:21" x14ac:dyDescent="0.2">
      <c r="A7" s="24">
        <v>84152</v>
      </c>
      <c r="B7" s="3">
        <f t="shared" si="0"/>
        <v>23081</v>
      </c>
      <c r="C7" s="8">
        <f t="shared" si="1"/>
        <v>53.809719370294317</v>
      </c>
      <c r="D7" s="15">
        <f t="shared" si="2"/>
        <v>46171.01</v>
      </c>
      <c r="E7" s="14">
        <f t="shared" si="3"/>
        <v>28279.96</v>
      </c>
      <c r="F7" s="14">
        <f t="shared" si="4"/>
        <v>110191.66</v>
      </c>
      <c r="G7" s="14">
        <f t="shared" si="5"/>
        <v>951700.16</v>
      </c>
      <c r="H7" s="25">
        <f t="shared" si="6"/>
        <v>1000000</v>
      </c>
      <c r="I7" s="26" t="str">
        <f t="shared" si="15"/>
        <v>Below</v>
      </c>
      <c r="J7" s="20">
        <f t="shared" si="7"/>
        <v>1.4999999999999999E-2</v>
      </c>
      <c r="K7" s="6">
        <f t="shared" si="8"/>
        <v>114599.32640000001</v>
      </c>
      <c r="L7" s="6">
        <f t="shared" si="9"/>
        <v>119183.29945600001</v>
      </c>
      <c r="M7" s="6">
        <f t="shared" si="10"/>
        <v>3558.3090847200001</v>
      </c>
      <c r="N7" s="7">
        <f t="shared" si="11"/>
        <v>48982.824508999998</v>
      </c>
      <c r="O7" s="7">
        <f t="shared" si="16"/>
        <v>52541.133593719998</v>
      </c>
      <c r="P7" s="6">
        <f t="shared" si="12"/>
        <v>31476.302478999998</v>
      </c>
      <c r="Q7" s="6">
        <f t="shared" si="17"/>
        <v>22193.961660681241</v>
      </c>
      <c r="R7" s="6">
        <f t="shared" si="18"/>
        <v>53670.26413968124</v>
      </c>
      <c r="S7" s="7">
        <f t="shared" si="13"/>
        <v>1104492.9360140814</v>
      </c>
      <c r="T7" s="7">
        <f t="shared" si="14"/>
        <v>1060900</v>
      </c>
      <c r="U7" s="11" t="str">
        <f t="shared" si="19"/>
        <v>Exceeds</v>
      </c>
    </row>
    <row r="8" spans="1:21" x14ac:dyDescent="0.2">
      <c r="A8" s="24">
        <v>81632</v>
      </c>
      <c r="B8" s="3">
        <f t="shared" si="0"/>
        <v>23595</v>
      </c>
      <c r="C8" s="8">
        <f t="shared" si="1"/>
        <v>52.402464065708422</v>
      </c>
      <c r="D8" s="15">
        <f t="shared" si="2"/>
        <v>46962.79</v>
      </c>
      <c r="E8" s="14">
        <f t="shared" si="3"/>
        <v>22345.67</v>
      </c>
      <c r="F8" s="14">
        <f t="shared" si="4"/>
        <v>89268.57</v>
      </c>
      <c r="G8" s="14">
        <f t="shared" si="5"/>
        <v>961601.47000000009</v>
      </c>
      <c r="H8" s="25">
        <f t="shared" si="6"/>
        <v>1000000</v>
      </c>
      <c r="I8" s="26" t="str">
        <f t="shared" si="15"/>
        <v>Below</v>
      </c>
      <c r="J8" s="20">
        <f t="shared" si="7"/>
        <v>1.4999999999999999E-2</v>
      </c>
      <c r="K8" s="6">
        <f t="shared" si="8"/>
        <v>92839.312800000014</v>
      </c>
      <c r="L8" s="6">
        <f t="shared" si="9"/>
        <v>96552.885312000013</v>
      </c>
      <c r="M8" s="6">
        <f t="shared" si="10"/>
        <v>2882.6606624400001</v>
      </c>
      <c r="N8" s="7">
        <f t="shared" si="11"/>
        <v>49822.823910999999</v>
      </c>
      <c r="O8" s="7">
        <f t="shared" si="16"/>
        <v>52705.484573440001</v>
      </c>
      <c r="P8" s="6">
        <f t="shared" si="12"/>
        <v>24871.289351749998</v>
      </c>
      <c r="Q8" s="6">
        <f t="shared" si="17"/>
        <v>17979.792845337295</v>
      </c>
      <c r="R8" s="6">
        <f t="shared" si="18"/>
        <v>42851.082197087293</v>
      </c>
      <c r="S8" s="7">
        <f t="shared" si="13"/>
        <v>1096960.7736658873</v>
      </c>
      <c r="T8" s="7">
        <f t="shared" si="14"/>
        <v>1060900</v>
      </c>
      <c r="U8" s="11" t="str">
        <f t="shared" si="19"/>
        <v>Exceeds</v>
      </c>
    </row>
    <row r="9" spans="1:21" x14ac:dyDescent="0.2">
      <c r="A9" s="24">
        <v>51893</v>
      </c>
      <c r="B9" s="3">
        <f t="shared" si="0"/>
        <v>23424</v>
      </c>
      <c r="C9" s="8">
        <f t="shared" si="1"/>
        <v>52.870636550308006</v>
      </c>
      <c r="D9" s="15">
        <f t="shared" si="2"/>
        <v>62389.5</v>
      </c>
      <c r="E9" s="14">
        <f t="shared" si="3"/>
        <v>23760.95</v>
      </c>
      <c r="F9" s="14">
        <f t="shared" si="4"/>
        <v>178834.38</v>
      </c>
      <c r="G9" s="14">
        <f t="shared" si="5"/>
        <v>1271550.95</v>
      </c>
      <c r="H9" s="25">
        <f t="shared" si="6"/>
        <v>1000000</v>
      </c>
      <c r="I9" s="26" t="str">
        <f t="shared" si="15"/>
        <v>Exceeds</v>
      </c>
      <c r="J9" s="20">
        <f t="shared" si="7"/>
        <v>1.4999999999999999E-2</v>
      </c>
      <c r="K9" s="6">
        <f t="shared" si="8"/>
        <v>185987.75520000001</v>
      </c>
      <c r="L9" s="6">
        <f t="shared" si="9"/>
        <v>193427.26540800004</v>
      </c>
      <c r="M9" s="6">
        <f t="shared" si="10"/>
        <v>5774.9197989600007</v>
      </c>
      <c r="N9" s="7">
        <f t="shared" si="11"/>
        <v>66189.020550000001</v>
      </c>
      <c r="O9" s="7">
        <f t="shared" si="16"/>
        <v>71963.940348960008</v>
      </c>
      <c r="P9" s="6">
        <f t="shared" si="12"/>
        <v>26446.53137375</v>
      </c>
      <c r="Q9" s="6">
        <f t="shared" si="17"/>
        <v>36019.453498855546</v>
      </c>
      <c r="R9" s="6">
        <f t="shared" si="18"/>
        <v>62465.98487260555</v>
      </c>
      <c r="S9" s="7">
        <f t="shared" si="13"/>
        <v>1501744.7918518058</v>
      </c>
      <c r="T9" s="7">
        <f t="shared" si="14"/>
        <v>1060900</v>
      </c>
      <c r="U9" s="11" t="str">
        <f t="shared" si="19"/>
        <v>Exceeds</v>
      </c>
    </row>
    <row r="10" spans="1:21" x14ac:dyDescent="0.2">
      <c r="A10" s="24">
        <v>86008</v>
      </c>
      <c r="B10" s="3">
        <f t="shared" si="0"/>
        <v>24001</v>
      </c>
      <c r="C10" s="8">
        <f t="shared" si="1"/>
        <v>51.290896646132786</v>
      </c>
      <c r="D10" s="15">
        <f t="shared" si="2"/>
        <v>35220.410000000003</v>
      </c>
      <c r="E10" s="14">
        <f t="shared" si="3"/>
        <v>18593</v>
      </c>
      <c r="F10" s="14">
        <f t="shared" si="4"/>
        <v>139023.74</v>
      </c>
      <c r="G10" s="14">
        <f t="shared" si="5"/>
        <v>723001.20000000007</v>
      </c>
      <c r="H10" s="25">
        <f t="shared" si="6"/>
        <v>1000000</v>
      </c>
      <c r="I10" s="26" t="str">
        <f t="shared" si="15"/>
        <v>Below</v>
      </c>
      <c r="J10" s="20">
        <f t="shared" si="7"/>
        <v>1.4999999999999999E-2</v>
      </c>
      <c r="K10" s="6">
        <f t="shared" si="8"/>
        <v>144584.68959999998</v>
      </c>
      <c r="L10" s="6">
        <f t="shared" si="9"/>
        <v>150368.07718399999</v>
      </c>
      <c r="M10" s="6">
        <f t="shared" si="10"/>
        <v>4489.3546120799992</v>
      </c>
      <c r="N10" s="7">
        <f t="shared" si="11"/>
        <v>37365.332969000003</v>
      </c>
      <c r="O10" s="7">
        <f t="shared" si="16"/>
        <v>41854.687581080005</v>
      </c>
      <c r="P10" s="6">
        <f t="shared" si="12"/>
        <v>20694.473824999997</v>
      </c>
      <c r="Q10" s="6">
        <f>VLOOKUP(C10,conts,4,TRUE)*K10*(1+inv_ret)^1.5+VLOOKUP(C10+1,conts,4,TRUE)*L10*(1+inv_ret)^0.5</f>
        <v>28001.098771762914</v>
      </c>
      <c r="R10" s="6">
        <f t="shared" si="18"/>
        <v>48695.572596762911</v>
      </c>
      <c r="S10" s="7">
        <f t="shared" si="13"/>
        <v>885789.32421836304</v>
      </c>
      <c r="T10" s="7">
        <f t="shared" si="14"/>
        <v>1060900</v>
      </c>
      <c r="U10" s="11" t="str">
        <f t="shared" si="19"/>
        <v>Below</v>
      </c>
    </row>
    <row r="11" spans="1:21" x14ac:dyDescent="0.2">
      <c r="A11" s="24">
        <v>72440</v>
      </c>
      <c r="B11" s="3">
        <f t="shared" si="0"/>
        <v>24282</v>
      </c>
      <c r="C11" s="8">
        <f t="shared" si="1"/>
        <v>50.521560574948666</v>
      </c>
      <c r="D11" s="15">
        <f t="shared" si="2"/>
        <v>76168.11</v>
      </c>
      <c r="E11" s="14">
        <f t="shared" si="3"/>
        <v>39183.99</v>
      </c>
      <c r="F11" s="14">
        <f t="shared" si="4"/>
        <v>158422.62</v>
      </c>
      <c r="G11" s="14">
        <f t="shared" si="5"/>
        <v>1562546.19</v>
      </c>
      <c r="H11" s="25">
        <f t="shared" si="6"/>
        <v>1000000</v>
      </c>
      <c r="I11" s="26" t="str">
        <f t="shared" si="15"/>
        <v>Exceeds</v>
      </c>
      <c r="J11" s="20">
        <f t="shared" si="7"/>
        <v>1.4999999999999999E-2</v>
      </c>
      <c r="K11" s="6">
        <f t="shared" si="8"/>
        <v>164759.52480000001</v>
      </c>
      <c r="L11" s="6">
        <f t="shared" si="9"/>
        <v>171349.90579200003</v>
      </c>
      <c r="M11" s="6">
        <f t="shared" si="10"/>
        <v>5115.7832450400001</v>
      </c>
      <c r="N11" s="7">
        <f t="shared" si="11"/>
        <v>80806.747898999995</v>
      </c>
      <c r="O11" s="7">
        <f t="shared" si="16"/>
        <v>85922.531144039996</v>
      </c>
      <c r="P11" s="6">
        <f t="shared" si="12"/>
        <v>43612.760469749992</v>
      </c>
      <c r="Q11" s="6">
        <f t="shared" si="17"/>
        <v>31908.272862616584</v>
      </c>
      <c r="R11" s="6">
        <f t="shared" si="18"/>
        <v>75521.033332366584</v>
      </c>
      <c r="S11" s="7">
        <f t="shared" si="13"/>
        <v>1793971.6562131664</v>
      </c>
      <c r="T11" s="7">
        <f t="shared" si="14"/>
        <v>1060900</v>
      </c>
      <c r="U11" s="11" t="str">
        <f t="shared" si="19"/>
        <v>Exceeds</v>
      </c>
    </row>
    <row r="12" spans="1:21" x14ac:dyDescent="0.2">
      <c r="A12" s="24">
        <v>80447</v>
      </c>
      <c r="B12" s="3">
        <f t="shared" si="0"/>
        <v>29416</v>
      </c>
      <c r="C12" s="8">
        <f t="shared" si="1"/>
        <v>36.465434633812457</v>
      </c>
      <c r="D12" s="15">
        <f t="shared" si="2"/>
        <v>18401.86</v>
      </c>
      <c r="E12" s="14">
        <f t="shared" si="3"/>
        <v>20550.37</v>
      </c>
      <c r="F12" s="14">
        <f t="shared" si="4"/>
        <v>68926.570000000007</v>
      </c>
      <c r="G12" s="14">
        <f t="shared" si="5"/>
        <v>388587.57</v>
      </c>
      <c r="H12" s="25">
        <f t="shared" si="6"/>
        <v>1000000</v>
      </c>
      <c r="I12" s="26" t="str">
        <f t="shared" si="15"/>
        <v>Below</v>
      </c>
      <c r="J12" s="20">
        <f t="shared" si="7"/>
        <v>1.4999999999999999E-2</v>
      </c>
      <c r="K12" s="6">
        <f t="shared" si="8"/>
        <v>71683.632800000007</v>
      </c>
      <c r="L12" s="6">
        <f t="shared" si="9"/>
        <v>74550.978112000012</v>
      </c>
      <c r="M12" s="6">
        <f t="shared" si="10"/>
        <v>2225.7767984400002</v>
      </c>
      <c r="N12" s="7">
        <f t="shared" si="11"/>
        <v>19522.533274000001</v>
      </c>
      <c r="O12" s="7">
        <f t="shared" si="16"/>
        <v>21748.310072440003</v>
      </c>
      <c r="P12" s="6">
        <f t="shared" si="12"/>
        <v>22873.075569249999</v>
      </c>
      <c r="Q12" s="6">
        <f t="shared" si="17"/>
        <v>7712.5904082953784</v>
      </c>
      <c r="R12" s="6">
        <f t="shared" si="18"/>
        <v>30585.665977545377</v>
      </c>
      <c r="S12" s="7">
        <f t="shared" si="13"/>
        <v>465551.86742634542</v>
      </c>
      <c r="T12" s="7">
        <f t="shared" si="14"/>
        <v>1060900</v>
      </c>
      <c r="U12" s="11" t="str">
        <f t="shared" si="19"/>
        <v>Below</v>
      </c>
    </row>
    <row r="13" spans="1:21" x14ac:dyDescent="0.2">
      <c r="A13" s="24">
        <v>56068</v>
      </c>
      <c r="B13" s="3">
        <f t="shared" si="0"/>
        <v>28637</v>
      </c>
      <c r="C13" s="8">
        <f t="shared" si="1"/>
        <v>38.598220396988367</v>
      </c>
      <c r="D13" s="15">
        <f t="shared" si="2"/>
        <v>5912.83</v>
      </c>
      <c r="E13" s="14">
        <f t="shared" si="3"/>
        <v>31194.9</v>
      </c>
      <c r="F13" s="14">
        <f t="shared" si="4"/>
        <v>50563.27</v>
      </c>
      <c r="G13" s="14">
        <f t="shared" si="5"/>
        <v>149451.5</v>
      </c>
      <c r="H13" s="25">
        <f t="shared" si="6"/>
        <v>1000000</v>
      </c>
      <c r="I13" s="26" t="str">
        <f t="shared" si="15"/>
        <v>Below</v>
      </c>
      <c r="J13" s="20">
        <f t="shared" si="7"/>
        <v>1.4999999999999999E-2</v>
      </c>
      <c r="K13" s="6">
        <f t="shared" si="8"/>
        <v>52585.800799999997</v>
      </c>
      <c r="L13" s="6">
        <f t="shared" si="9"/>
        <v>54689.232832000002</v>
      </c>
      <c r="M13" s="6">
        <f t="shared" si="10"/>
        <v>1632.7891148399999</v>
      </c>
      <c r="N13" s="7">
        <f t="shared" si="11"/>
        <v>6272.9213469999995</v>
      </c>
      <c r="O13" s="7">
        <f t="shared" si="16"/>
        <v>7905.710461839999</v>
      </c>
      <c r="P13" s="6">
        <f t="shared" si="12"/>
        <v>34720.703572500002</v>
      </c>
      <c r="Q13" s="6">
        <f t="shared" si="17"/>
        <v>5657.8151388361475</v>
      </c>
      <c r="R13" s="6">
        <f t="shared" si="18"/>
        <v>40378.518711336146</v>
      </c>
      <c r="S13" s="7">
        <f t="shared" si="13"/>
        <v>198492.7279481361</v>
      </c>
      <c r="T13" s="7">
        <f t="shared" si="14"/>
        <v>1060900</v>
      </c>
      <c r="U13" s="11" t="str">
        <f t="shared" si="19"/>
        <v>Below</v>
      </c>
    </row>
    <row r="14" spans="1:21" x14ac:dyDescent="0.2">
      <c r="A14" s="24">
        <v>89987</v>
      </c>
      <c r="B14" s="3">
        <f t="shared" si="0"/>
        <v>29155</v>
      </c>
      <c r="C14" s="8">
        <f t="shared" si="1"/>
        <v>37.180013689253933</v>
      </c>
      <c r="D14" s="15">
        <f t="shared" si="2"/>
        <v>14795.57</v>
      </c>
      <c r="E14" s="14">
        <f t="shared" si="3"/>
        <v>25714.89</v>
      </c>
      <c r="F14" s="14">
        <f t="shared" si="4"/>
        <v>96655.46</v>
      </c>
      <c r="G14" s="14">
        <f t="shared" si="5"/>
        <v>321626.29000000004</v>
      </c>
      <c r="H14" s="25">
        <f t="shared" si="6"/>
        <v>1000000</v>
      </c>
      <c r="I14" s="26" t="str">
        <f t="shared" si="15"/>
        <v>Below</v>
      </c>
      <c r="J14" s="20">
        <f t="shared" si="7"/>
        <v>1.4999999999999999E-2</v>
      </c>
      <c r="K14" s="6">
        <f t="shared" si="8"/>
        <v>100521.6784</v>
      </c>
      <c r="L14" s="6">
        <f t="shared" si="9"/>
        <v>104542.54553600001</v>
      </c>
      <c r="M14" s="6">
        <f t="shared" si="10"/>
        <v>3121.1981143200001</v>
      </c>
      <c r="N14" s="7">
        <f t="shared" si="11"/>
        <v>15696.620212999998</v>
      </c>
      <c r="O14" s="7">
        <f t="shared" si="16"/>
        <v>18817.818327319997</v>
      </c>
      <c r="P14" s="6">
        <f t="shared" si="12"/>
        <v>28621.315442249997</v>
      </c>
      <c r="Q14" s="6">
        <f t="shared" si="17"/>
        <v>10815.335417174794</v>
      </c>
      <c r="R14" s="6">
        <f t="shared" si="18"/>
        <v>39436.650859424793</v>
      </c>
      <c r="S14" s="7">
        <f t="shared" si="13"/>
        <v>415793.01740582474</v>
      </c>
      <c r="T14" s="7">
        <f t="shared" si="14"/>
        <v>1060900</v>
      </c>
      <c r="U14" s="11" t="str">
        <f t="shared" si="19"/>
        <v>Below</v>
      </c>
    </row>
    <row r="15" spans="1:21" x14ac:dyDescent="0.2">
      <c r="A15" s="24">
        <v>75535</v>
      </c>
      <c r="B15" s="3">
        <f t="shared" si="0"/>
        <v>24098</v>
      </c>
      <c r="C15" s="8">
        <f t="shared" si="1"/>
        <v>51.025325119780973</v>
      </c>
      <c r="D15" s="15">
        <f t="shared" si="2"/>
        <v>27849.49</v>
      </c>
      <c r="E15" s="14">
        <f t="shared" si="3"/>
        <v>28325.360000000001</v>
      </c>
      <c r="F15" s="14">
        <f t="shared" si="4"/>
        <v>63530.81</v>
      </c>
      <c r="G15" s="14">
        <f t="shared" si="5"/>
        <v>585315.16</v>
      </c>
      <c r="H15" s="25">
        <f t="shared" si="6"/>
        <v>1000000</v>
      </c>
      <c r="I15" s="26" t="str">
        <f t="shared" si="15"/>
        <v>Below</v>
      </c>
      <c r="J15" s="20">
        <f t="shared" si="7"/>
        <v>1.4999999999999999E-2</v>
      </c>
      <c r="K15" s="6">
        <f t="shared" si="8"/>
        <v>66072.042400000006</v>
      </c>
      <c r="L15" s="6">
        <f t="shared" si="9"/>
        <v>68714.924096000002</v>
      </c>
      <c r="M15" s="6">
        <f t="shared" si="10"/>
        <v>2051.53691652</v>
      </c>
      <c r="N15" s="7">
        <f t="shared" si="11"/>
        <v>29545.523940999999</v>
      </c>
      <c r="O15" s="7">
        <f t="shared" si="16"/>
        <v>31597.060857519999</v>
      </c>
      <c r="P15" s="6">
        <f t="shared" si="12"/>
        <v>31526.833813999998</v>
      </c>
      <c r="Q15" s="6">
        <f t="shared" si="17"/>
        <v>12795.890010296825</v>
      </c>
      <c r="R15" s="6">
        <f t="shared" si="18"/>
        <v>44322.723824296823</v>
      </c>
      <c r="S15" s="7">
        <f t="shared" si="13"/>
        <v>676263.94097469677</v>
      </c>
      <c r="T15" s="7">
        <f t="shared" si="14"/>
        <v>1060900</v>
      </c>
      <c r="U15" s="11" t="str">
        <f t="shared" si="19"/>
        <v>Below</v>
      </c>
    </row>
  </sheetData>
  <mergeCells count="1">
    <mergeCell ref="D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workbookViewId="0"/>
  </sheetViews>
  <sheetFormatPr defaultRowHeight="12.75" x14ac:dyDescent="0.2"/>
  <cols>
    <col min="1" max="1" width="13.140625" customWidth="1"/>
    <col min="3" max="3" width="18.5703125" bestFit="1" customWidth="1"/>
    <col min="4" max="4" width="13.7109375" bestFit="1" customWidth="1"/>
    <col min="5" max="5" width="16" bestFit="1" customWidth="1"/>
    <col min="6" max="7" width="12.85546875" bestFit="1" customWidth="1"/>
    <col min="8" max="8" width="19.28515625" bestFit="1" customWidth="1"/>
  </cols>
  <sheetData>
    <row r="1" spans="1:8" x14ac:dyDescent="0.2">
      <c r="A1" s="4" t="s">
        <v>87</v>
      </c>
    </row>
    <row r="2" spans="1:8" ht="13.5" thickBot="1" x14ac:dyDescent="0.25"/>
    <row r="3" spans="1:8" ht="13.5" thickBot="1" x14ac:dyDescent="0.25">
      <c r="A3" s="12" t="s">
        <v>103</v>
      </c>
      <c r="B3" s="17">
        <v>80447</v>
      </c>
    </row>
    <row r="5" spans="1:8" s="12" customFormat="1" x14ac:dyDescent="0.2">
      <c r="A5" s="16" t="s">
        <v>85</v>
      </c>
      <c r="B5" s="16" t="s">
        <v>0</v>
      </c>
      <c r="C5" s="16" t="s">
        <v>86</v>
      </c>
      <c r="D5" s="16" t="s">
        <v>2</v>
      </c>
      <c r="E5" s="16" t="s">
        <v>108</v>
      </c>
      <c r="F5" s="16" t="s">
        <v>3</v>
      </c>
      <c r="G5" s="16" t="s">
        <v>106</v>
      </c>
      <c r="H5" s="16" t="s">
        <v>107</v>
      </c>
    </row>
    <row r="6" spans="1:8" x14ac:dyDescent="0.2">
      <c r="A6" s="22">
        <f>YEAR(val_date)</f>
        <v>2016</v>
      </c>
      <c r="B6" s="18">
        <f>(val_date-VLOOKUP($B$3,val_data,5,FALSE))/365.25</f>
        <v>36.465434633812457</v>
      </c>
      <c r="C6" s="19">
        <f>VLOOKUP($B$3,val_data,9,FALSE)</f>
        <v>68926.570000000007</v>
      </c>
      <c r="D6" s="19">
        <f>VLOOKUP($B$3,val_data,10,FALSE)</f>
        <v>18401.86</v>
      </c>
      <c r="E6" s="19">
        <f>VLOOKUP($B$3,val_data,8,FALSE)</f>
        <v>20550.37</v>
      </c>
      <c r="F6" s="10">
        <f t="shared" ref="F6:F28" si="0">D6*pen_fac+E6</f>
        <v>388587.57</v>
      </c>
      <c r="G6" s="19">
        <f>gov_allow</f>
        <v>1000000</v>
      </c>
      <c r="H6" t="str">
        <f>IF(G6&lt;F6,"Yes","No")</f>
        <v>No</v>
      </c>
    </row>
    <row r="7" spans="1:8" x14ac:dyDescent="0.2">
      <c r="A7">
        <f>A6+1</f>
        <v>2017</v>
      </c>
      <c r="B7" s="6">
        <f>B6+1</f>
        <v>37.465434633812457</v>
      </c>
      <c r="C7" s="10">
        <f t="shared" ref="C7:C30" si="1">C6*(1+inflB)</f>
        <v>71683.632800000007</v>
      </c>
      <c r="D7" s="10">
        <f t="shared" ref="D7:D30" si="2">D6*(1+inflA)+accrual*C7</f>
        <v>20029.170292000003</v>
      </c>
      <c r="E7" s="10">
        <f>E6*(1+inv_ret)+C7*VLOOKUP(B7,conts,4,TRUE)*(1+inv_ret)^0.5</f>
        <v>25362.067752527626</v>
      </c>
      <c r="F7" s="10">
        <f t="shared" si="0"/>
        <v>425945.47359252768</v>
      </c>
      <c r="G7" s="10">
        <f t="shared" ref="G7:G30" si="3">G6*(1+inflA)</f>
        <v>1030000</v>
      </c>
      <c r="H7" t="str">
        <f t="shared" ref="H7:H28" si="4">IF(G7&lt;F7,"Yes","No")</f>
        <v>No</v>
      </c>
    </row>
    <row r="8" spans="1:8" x14ac:dyDescent="0.2">
      <c r="A8">
        <f t="shared" ref="A8:A28" si="5">A7+1</f>
        <v>2018</v>
      </c>
      <c r="B8" s="6">
        <f t="shared" ref="B8:B24" si="6">B7+1</f>
        <v>38.465434633812457</v>
      </c>
      <c r="C8" s="10">
        <f t="shared" si="1"/>
        <v>74550.978112000012</v>
      </c>
      <c r="D8" s="10">
        <f t="shared" si="2"/>
        <v>21748.310072440003</v>
      </c>
      <c r="E8" s="10">
        <f t="shared" ref="E8:E30" si="7">E7*(1+inv_ret)+C8*VLOOKUP(B8,conts,4,TRUE)*(1+inv_ret)^0.5</f>
        <v>30585.665977545377</v>
      </c>
      <c r="F8" s="10">
        <f t="shared" si="0"/>
        <v>465551.86742634542</v>
      </c>
      <c r="G8" s="10">
        <f t="shared" si="3"/>
        <v>1060900</v>
      </c>
      <c r="H8" t="str">
        <f t="shared" si="4"/>
        <v>No</v>
      </c>
    </row>
    <row r="9" spans="1:8" x14ac:dyDescent="0.2">
      <c r="A9">
        <f t="shared" si="5"/>
        <v>2019</v>
      </c>
      <c r="B9" s="6">
        <f t="shared" si="6"/>
        <v>39.465434633812457</v>
      </c>
      <c r="C9" s="10">
        <f t="shared" si="1"/>
        <v>77533.017236480009</v>
      </c>
      <c r="D9" s="10">
        <f t="shared" si="2"/>
        <v>23563.754633160403</v>
      </c>
      <c r="E9" s="10">
        <f t="shared" si="7"/>
        <v>36249.709484884253</v>
      </c>
      <c r="F9" s="10">
        <f t="shared" si="0"/>
        <v>507524.80214809231</v>
      </c>
      <c r="G9" s="10">
        <f t="shared" si="3"/>
        <v>1092727</v>
      </c>
      <c r="H9" t="str">
        <f t="shared" si="4"/>
        <v>No</v>
      </c>
    </row>
    <row r="10" spans="1:8" x14ac:dyDescent="0.2">
      <c r="A10">
        <f t="shared" si="5"/>
        <v>2020</v>
      </c>
      <c r="B10" s="6">
        <f t="shared" si="6"/>
        <v>40.465434633812457</v>
      </c>
      <c r="C10" s="10">
        <f t="shared" si="1"/>
        <v>80634.33792593921</v>
      </c>
      <c r="D10" s="10">
        <f t="shared" si="2"/>
        <v>25480.182341044303</v>
      </c>
      <c r="E10" s="10">
        <f t="shared" si="7"/>
        <v>44040.990721756461</v>
      </c>
      <c r="F10" s="10">
        <f t="shared" si="0"/>
        <v>553644.63754264254</v>
      </c>
      <c r="G10" s="10">
        <f t="shared" si="3"/>
        <v>1125508.81</v>
      </c>
      <c r="H10" t="str">
        <f t="shared" si="4"/>
        <v>No</v>
      </c>
    </row>
    <row r="11" spans="1:8" x14ac:dyDescent="0.2">
      <c r="A11">
        <f t="shared" si="5"/>
        <v>2021</v>
      </c>
      <c r="B11" s="6">
        <f t="shared" si="6"/>
        <v>41.465434633812457</v>
      </c>
      <c r="C11" s="10">
        <f t="shared" si="1"/>
        <v>83859.711442976783</v>
      </c>
      <c r="D11" s="10">
        <f t="shared" si="2"/>
        <v>27502.483482920285</v>
      </c>
      <c r="E11" s="10">
        <f t="shared" si="7"/>
        <v>52492.694315264773</v>
      </c>
      <c r="F11" s="10">
        <f t="shared" si="0"/>
        <v>602542.36397367052</v>
      </c>
      <c r="G11" s="10">
        <f t="shared" si="3"/>
        <v>1159274.0743</v>
      </c>
      <c r="H11" t="str">
        <f t="shared" si="4"/>
        <v>No</v>
      </c>
    </row>
    <row r="12" spans="1:8" x14ac:dyDescent="0.2">
      <c r="A12">
        <f t="shared" si="5"/>
        <v>2022</v>
      </c>
      <c r="B12" s="6">
        <f t="shared" si="6"/>
        <v>42.465434633812457</v>
      </c>
      <c r="C12" s="10">
        <f t="shared" si="1"/>
        <v>87214.099900695859</v>
      </c>
      <c r="D12" s="10">
        <f t="shared" si="2"/>
        <v>29635.769485918332</v>
      </c>
      <c r="E12" s="10">
        <f t="shared" si="7"/>
        <v>61650.419570568512</v>
      </c>
      <c r="F12" s="10">
        <f t="shared" si="0"/>
        <v>654365.80928893515</v>
      </c>
      <c r="G12" s="10">
        <f t="shared" si="3"/>
        <v>1194052.2965289999</v>
      </c>
      <c r="H12" t="str">
        <f t="shared" si="4"/>
        <v>No</v>
      </c>
    </row>
    <row r="13" spans="1:8" x14ac:dyDescent="0.2">
      <c r="A13">
        <f t="shared" si="5"/>
        <v>2023</v>
      </c>
      <c r="B13" s="6">
        <f t="shared" si="6"/>
        <v>43.465434633812457</v>
      </c>
      <c r="C13" s="10">
        <f t="shared" si="1"/>
        <v>90702.663896723694</v>
      </c>
      <c r="D13" s="10">
        <f t="shared" si="2"/>
        <v>31885.382528946739</v>
      </c>
      <c r="E13" s="10">
        <f t="shared" si="7"/>
        <v>71562.644797632529</v>
      </c>
      <c r="F13" s="10">
        <f t="shared" si="0"/>
        <v>709270.2953765674</v>
      </c>
      <c r="G13" s="10">
        <f t="shared" si="3"/>
        <v>1229873.86542487</v>
      </c>
      <c r="H13" t="str">
        <f t="shared" si="4"/>
        <v>No</v>
      </c>
    </row>
    <row r="14" spans="1:8" x14ac:dyDescent="0.2">
      <c r="A14">
        <f t="shared" si="5"/>
        <v>2024</v>
      </c>
      <c r="B14" s="6">
        <f t="shared" si="6"/>
        <v>44.465434633812457</v>
      </c>
      <c r="C14" s="10">
        <f t="shared" si="1"/>
        <v>94330.770452592638</v>
      </c>
      <c r="D14" s="10">
        <f t="shared" si="2"/>
        <v>34256.905561604035</v>
      </c>
      <c r="E14" s="10">
        <f t="shared" si="7"/>
        <v>82280.900498212373</v>
      </c>
      <c r="F14" s="10">
        <f t="shared" si="0"/>
        <v>767419.01173029304</v>
      </c>
      <c r="G14" s="10">
        <f t="shared" si="3"/>
        <v>1266770.0813876162</v>
      </c>
      <c r="H14" t="str">
        <f t="shared" si="4"/>
        <v>No</v>
      </c>
    </row>
    <row r="15" spans="1:8" x14ac:dyDescent="0.2">
      <c r="A15">
        <f t="shared" si="5"/>
        <v>2025</v>
      </c>
      <c r="B15" s="6">
        <f t="shared" si="6"/>
        <v>45.465434633812457</v>
      </c>
      <c r="C15" s="10">
        <f t="shared" si="1"/>
        <v>98104.001270696346</v>
      </c>
      <c r="D15" s="10">
        <f t="shared" si="2"/>
        <v>36756.172747512603</v>
      </c>
      <c r="E15" s="10">
        <f t="shared" si="7"/>
        <v>93859.952671792518</v>
      </c>
      <c r="F15" s="10">
        <f t="shared" si="0"/>
        <v>828983.40762204456</v>
      </c>
      <c r="G15" s="10">
        <f t="shared" si="3"/>
        <v>1304773.1838292447</v>
      </c>
      <c r="H15" t="str">
        <f t="shared" si="4"/>
        <v>No</v>
      </c>
    </row>
    <row r="16" spans="1:8" x14ac:dyDescent="0.2">
      <c r="A16">
        <f t="shared" si="5"/>
        <v>2026</v>
      </c>
      <c r="B16" s="6">
        <f t="shared" si="6"/>
        <v>46.465434633812457</v>
      </c>
      <c r="C16" s="10">
        <f t="shared" si="1"/>
        <v>102028.16132152421</v>
      </c>
      <c r="D16" s="10">
        <f t="shared" si="2"/>
        <v>39389.280349760847</v>
      </c>
      <c r="E16" s="10">
        <f t="shared" si="7"/>
        <v>106357.9968207667</v>
      </c>
      <c r="F16" s="10">
        <f t="shared" si="0"/>
        <v>894143.60381598363</v>
      </c>
      <c r="G16" s="10">
        <f t="shared" si="3"/>
        <v>1343916.379344122</v>
      </c>
      <c r="H16" t="str">
        <f t="shared" si="4"/>
        <v>No</v>
      </c>
    </row>
    <row r="17" spans="1:8" x14ac:dyDescent="0.2">
      <c r="A17">
        <f t="shared" si="5"/>
        <v>2027</v>
      </c>
      <c r="B17" s="6">
        <f t="shared" si="6"/>
        <v>47.465434633812457</v>
      </c>
      <c r="C17" s="10">
        <f t="shared" si="1"/>
        <v>106109.28777438519</v>
      </c>
      <c r="D17" s="10">
        <f t="shared" si="2"/>
        <v>42162.59807686945</v>
      </c>
      <c r="E17" s="10">
        <f t="shared" si="7"/>
        <v>119836.8632680155</v>
      </c>
      <c r="F17" s="10">
        <f t="shared" si="0"/>
        <v>963088.82480540453</v>
      </c>
      <c r="G17" s="10">
        <f t="shared" si="3"/>
        <v>1384233.8707244457</v>
      </c>
      <c r="H17" t="str">
        <f t="shared" si="4"/>
        <v>No</v>
      </c>
    </row>
    <row r="18" spans="1:8" x14ac:dyDescent="0.2">
      <c r="A18">
        <f t="shared" si="5"/>
        <v>2028</v>
      </c>
      <c r="B18" s="6">
        <f t="shared" si="6"/>
        <v>48.465434633812457</v>
      </c>
      <c r="C18" s="10">
        <f t="shared" si="1"/>
        <v>110353.6592853606</v>
      </c>
      <c r="D18" s="10">
        <f t="shared" si="2"/>
        <v>45082.780908455941</v>
      </c>
      <c r="E18" s="10">
        <f t="shared" si="7"/>
        <v>134362.23443474725</v>
      </c>
      <c r="F18" s="10">
        <f t="shared" si="0"/>
        <v>1036017.8526038661</v>
      </c>
      <c r="G18" s="10">
        <f t="shared" si="3"/>
        <v>1425760.8868461791</v>
      </c>
      <c r="H18" t="str">
        <f t="shared" si="4"/>
        <v>No</v>
      </c>
    </row>
    <row r="19" spans="1:8" x14ac:dyDescent="0.2">
      <c r="A19">
        <f t="shared" si="5"/>
        <v>2029</v>
      </c>
      <c r="B19" s="6">
        <f t="shared" si="6"/>
        <v>49.465434633812457</v>
      </c>
      <c r="C19" s="10">
        <f t="shared" si="1"/>
        <v>114767.80565677503</v>
      </c>
      <c r="D19" s="10">
        <f t="shared" si="2"/>
        <v>48156.781420561252</v>
      </c>
      <c r="E19" s="10">
        <f t="shared" si="7"/>
        <v>150003.87476312887</v>
      </c>
      <c r="F19" s="10">
        <f t="shared" si="0"/>
        <v>1113139.5031743539</v>
      </c>
      <c r="G19" s="10">
        <f t="shared" si="3"/>
        <v>1468533.7134515645</v>
      </c>
      <c r="H19" t="str">
        <f t="shared" si="4"/>
        <v>No</v>
      </c>
    </row>
    <row r="20" spans="1:8" x14ac:dyDescent="0.2">
      <c r="A20">
        <f t="shared" si="5"/>
        <v>2030</v>
      </c>
      <c r="B20" s="6">
        <f t="shared" si="6"/>
        <v>50.465434633812457</v>
      </c>
      <c r="C20" s="10">
        <f t="shared" si="1"/>
        <v>119358.51788304604</v>
      </c>
      <c r="D20" s="10">
        <f t="shared" si="2"/>
        <v>51391.862631423784</v>
      </c>
      <c r="E20" s="10">
        <f t="shared" si="7"/>
        <v>169287.81290176441</v>
      </c>
      <c r="F20" s="10">
        <f t="shared" si="0"/>
        <v>1197125.0655302401</v>
      </c>
      <c r="G20" s="10">
        <f t="shared" si="3"/>
        <v>1512589.7248551114</v>
      </c>
      <c r="H20" t="str">
        <f t="shared" si="4"/>
        <v>No</v>
      </c>
    </row>
    <row r="21" spans="1:8" x14ac:dyDescent="0.2">
      <c r="A21">
        <f t="shared" si="5"/>
        <v>2031</v>
      </c>
      <c r="B21" s="6">
        <f t="shared" si="6"/>
        <v>51.465434633812457</v>
      </c>
      <c r="C21" s="10">
        <f t="shared" si="1"/>
        <v>124132.85859836788</v>
      </c>
      <c r="D21" s="10">
        <f t="shared" si="2"/>
        <v>54795.611389342019</v>
      </c>
      <c r="E21" s="10">
        <f t="shared" si="7"/>
        <v>190073.71663909141</v>
      </c>
      <c r="F21" s="10">
        <f t="shared" si="0"/>
        <v>1285985.9444259319</v>
      </c>
      <c r="G21" s="10">
        <f t="shared" si="3"/>
        <v>1557967.4166007647</v>
      </c>
      <c r="H21" t="str">
        <f t="shared" si="4"/>
        <v>No</v>
      </c>
    </row>
    <row r="22" spans="1:8" x14ac:dyDescent="0.2">
      <c r="A22">
        <f t="shared" si="5"/>
        <v>2032</v>
      </c>
      <c r="B22" s="6">
        <f t="shared" si="6"/>
        <v>52.465434633812457</v>
      </c>
      <c r="C22" s="10">
        <f t="shared" si="1"/>
        <v>129098.1729423026</v>
      </c>
      <c r="D22" s="10">
        <f t="shared" si="2"/>
        <v>58375.952325156817</v>
      </c>
      <c r="E22" s="10">
        <f t="shared" si="7"/>
        <v>212461.84804308062</v>
      </c>
      <c r="F22" s="10">
        <f t="shared" si="0"/>
        <v>1379980.8945462171</v>
      </c>
      <c r="G22" s="10">
        <f t="shared" si="3"/>
        <v>1604706.4390987877</v>
      </c>
      <c r="H22" t="str">
        <f t="shared" si="4"/>
        <v>No</v>
      </c>
    </row>
    <row r="23" spans="1:8" x14ac:dyDescent="0.2">
      <c r="A23">
        <f t="shared" si="5"/>
        <v>2033</v>
      </c>
      <c r="B23" s="6">
        <f t="shared" si="6"/>
        <v>53.465434633812457</v>
      </c>
      <c r="C23" s="10">
        <f t="shared" si="1"/>
        <v>134262.09985999472</v>
      </c>
      <c r="D23" s="10">
        <f t="shared" si="2"/>
        <v>62141.162392811442</v>
      </c>
      <c r="E23" s="10">
        <f t="shared" si="7"/>
        <v>236558.6897538428</v>
      </c>
      <c r="F23" s="10">
        <f t="shared" si="0"/>
        <v>1479381.9376100716</v>
      </c>
      <c r="G23" s="10">
        <f t="shared" si="3"/>
        <v>1652847.6322717513</v>
      </c>
      <c r="H23" t="str">
        <f t="shared" si="4"/>
        <v>No</v>
      </c>
    </row>
    <row r="24" spans="1:8" x14ac:dyDescent="0.2">
      <c r="A24">
        <f t="shared" si="5"/>
        <v>2034</v>
      </c>
      <c r="B24" s="6">
        <f t="shared" si="6"/>
        <v>54.465434633812457</v>
      </c>
      <c r="C24" s="10">
        <f t="shared" si="1"/>
        <v>139632.5838543945</v>
      </c>
      <c r="D24" s="10">
        <f t="shared" si="2"/>
        <v>66099.886022411694</v>
      </c>
      <c r="E24" s="10">
        <f t="shared" si="7"/>
        <v>262477.31536143261</v>
      </c>
      <c r="F24" s="10">
        <f t="shared" si="0"/>
        <v>1584475.0358096664</v>
      </c>
      <c r="G24" s="10">
        <f t="shared" si="3"/>
        <v>1702433.0612399038</v>
      </c>
      <c r="H24" t="str">
        <f t="shared" si="4"/>
        <v>No</v>
      </c>
    </row>
    <row r="25" spans="1:8" x14ac:dyDescent="0.2">
      <c r="A25">
        <f t="shared" si="5"/>
        <v>2035</v>
      </c>
      <c r="B25" s="6">
        <f t="shared" ref="B25:B30" si="8">B24+1</f>
        <v>55.465434633812457</v>
      </c>
      <c r="C25" s="10">
        <f t="shared" si="1"/>
        <v>145217.88720857029</v>
      </c>
      <c r="D25" s="10">
        <f t="shared" si="2"/>
        <v>70261.150911212593</v>
      </c>
      <c r="E25" s="10">
        <f t="shared" si="7"/>
        <v>290337.78128428501</v>
      </c>
      <c r="F25" s="10">
        <f t="shared" si="0"/>
        <v>1695560.7995085369</v>
      </c>
      <c r="G25" s="10">
        <f t="shared" si="3"/>
        <v>1753506.053077101</v>
      </c>
      <c r="H25" t="str">
        <f t="shared" si="4"/>
        <v>No</v>
      </c>
    </row>
    <row r="26" spans="1:8" x14ac:dyDescent="0.2">
      <c r="A26">
        <f t="shared" si="5"/>
        <v>2036</v>
      </c>
      <c r="B26" s="6">
        <f t="shared" si="8"/>
        <v>56.465434633812457</v>
      </c>
      <c r="C26" s="10">
        <f t="shared" si="1"/>
        <v>151026.60269691312</v>
      </c>
      <c r="D26" s="10">
        <f t="shared" si="2"/>
        <v>74634.384479002678</v>
      </c>
      <c r="E26" s="10">
        <f t="shared" si="7"/>
        <v>320267.54137601325</v>
      </c>
      <c r="F26" s="10">
        <f t="shared" si="0"/>
        <v>1812955.2309560669</v>
      </c>
      <c r="G26" s="10">
        <f t="shared" si="3"/>
        <v>1806111.2346694141</v>
      </c>
      <c r="H26" t="str">
        <f t="shared" si="4"/>
        <v>Yes</v>
      </c>
    </row>
    <row r="27" spans="1:8" x14ac:dyDescent="0.2">
      <c r="A27">
        <f t="shared" si="5"/>
        <v>2037</v>
      </c>
      <c r="B27" s="6">
        <f t="shared" si="8"/>
        <v>57.465434633812457</v>
      </c>
      <c r="C27" s="10">
        <f t="shared" si="1"/>
        <v>157067.66680478965</v>
      </c>
      <c r="D27" s="10">
        <f t="shared" si="2"/>
        <v>79229.431015444599</v>
      </c>
      <c r="E27" s="10">
        <f t="shared" si="7"/>
        <v>352401.88555763022</v>
      </c>
      <c r="F27" s="10">
        <f t="shared" si="0"/>
        <v>1936990.505866522</v>
      </c>
      <c r="G27" s="10">
        <f t="shared" si="3"/>
        <v>1860294.5717094967</v>
      </c>
      <c r="H27" t="str">
        <f t="shared" si="4"/>
        <v>Yes</v>
      </c>
    </row>
    <row r="28" spans="1:8" x14ac:dyDescent="0.2">
      <c r="A28">
        <f t="shared" si="5"/>
        <v>2038</v>
      </c>
      <c r="B28" s="6">
        <f t="shared" si="8"/>
        <v>58.465434633812457</v>
      </c>
      <c r="C28" s="10">
        <f t="shared" si="1"/>
        <v>163350.37347698124</v>
      </c>
      <c r="D28" s="10">
        <f t="shared" si="2"/>
        <v>84056.56954806266</v>
      </c>
      <c r="E28" s="10">
        <f t="shared" si="7"/>
        <v>386884.40384547354</v>
      </c>
      <c r="F28" s="10">
        <f t="shared" si="0"/>
        <v>2068015.7948067267</v>
      </c>
      <c r="G28" s="10">
        <f t="shared" si="3"/>
        <v>1916103.4088607817</v>
      </c>
      <c r="H28" t="str">
        <f t="shared" si="4"/>
        <v>Yes</v>
      </c>
    </row>
    <row r="29" spans="1:8" x14ac:dyDescent="0.2">
      <c r="A29">
        <f t="shared" ref="A29:A30" si="9">A28+1</f>
        <v>2039</v>
      </c>
      <c r="B29" s="6">
        <f t="shared" si="8"/>
        <v>59.465434633812457</v>
      </c>
      <c r="C29" s="10">
        <f t="shared" si="1"/>
        <v>169884.38841606051</v>
      </c>
      <c r="D29" s="10">
        <f t="shared" si="2"/>
        <v>89126.532460745453</v>
      </c>
      <c r="E29" s="10">
        <f t="shared" si="7"/>
        <v>423867.47722243523</v>
      </c>
      <c r="F29" s="10">
        <f t="shared" ref="F29:F30" si="10">D29*pen_fac+E29</f>
        <v>2206398.1264373441</v>
      </c>
      <c r="G29" s="10">
        <f t="shared" si="3"/>
        <v>1973586.5111266051</v>
      </c>
      <c r="H29" t="str">
        <f t="shared" ref="H29:H30" si="11">IF(G29&lt;F29,"Yes","No")</f>
        <v>Yes</v>
      </c>
    </row>
    <row r="30" spans="1:8" x14ac:dyDescent="0.2">
      <c r="A30">
        <f t="shared" si="9"/>
        <v>2040</v>
      </c>
      <c r="B30" s="6">
        <f t="shared" si="8"/>
        <v>60.465434633812457</v>
      </c>
      <c r="C30" s="10">
        <f t="shared" si="1"/>
        <v>176679.76395270292</v>
      </c>
      <c r="D30" s="10">
        <f t="shared" si="2"/>
        <v>94450.524893858368</v>
      </c>
      <c r="E30" s="10">
        <f t="shared" si="7"/>
        <v>463512.79688174825</v>
      </c>
      <c r="F30" s="10">
        <f t="shared" si="10"/>
        <v>2352523.2947589154</v>
      </c>
      <c r="G30" s="10">
        <f t="shared" si="3"/>
        <v>2032794.1064604032</v>
      </c>
      <c r="H30" t="str">
        <f t="shared" si="11"/>
        <v>Yes</v>
      </c>
    </row>
    <row r="31" spans="1:8" x14ac:dyDescent="0.2">
      <c r="B31" s="6"/>
      <c r="C31" s="10"/>
      <c r="D31" s="10"/>
      <c r="E31" s="10"/>
      <c r="F31" s="10"/>
      <c r="G31" s="10"/>
    </row>
    <row r="32" spans="1:8" x14ac:dyDescent="0.2">
      <c r="B32" s="6"/>
      <c r="C32" s="10"/>
      <c r="D32" s="10"/>
      <c r="E32" s="10"/>
      <c r="F32" s="10"/>
      <c r="G32" s="10"/>
    </row>
    <row r="33" spans="2:7" x14ac:dyDescent="0.2">
      <c r="B33" s="6"/>
      <c r="C33" s="10"/>
      <c r="D33" s="10"/>
      <c r="E33" s="10"/>
      <c r="F33" s="10"/>
      <c r="G33" s="10"/>
    </row>
    <row r="34" spans="2:7" x14ac:dyDescent="0.2">
      <c r="B34" s="6"/>
      <c r="C34" s="10"/>
      <c r="D34" s="10"/>
      <c r="E34" s="10"/>
      <c r="F34" s="10"/>
      <c r="G34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AE7BD9-107D-41EB-BE6D-4CC67A931FE0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cfdab824-e670-41f2-a5ee-7d4504103506"/>
    <ds:schemaRef ds:uri="e0a82e4c-fab7-409b-9177-d9582bcd9bf0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7FC352E-ED25-4FAE-ACCC-F29CEAFC01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FDC55B-DA14-4FD7-B523-8CBD07A305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ab824-e670-41f2-a5ee-7d4504103506"/>
    <ds:schemaRef ds:uri="e0a82e4c-fab7-409b-9177-d9582bcd9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Raw data</vt:lpstr>
      <vt:lpstr>Parameters</vt:lpstr>
      <vt:lpstr>Projections</vt:lpstr>
      <vt:lpstr>Ind projection</vt:lpstr>
      <vt:lpstr>accrual</vt:lpstr>
      <vt:lpstr>conts</vt:lpstr>
      <vt:lpstr>gov_allow</vt:lpstr>
      <vt:lpstr>inflA</vt:lpstr>
      <vt:lpstr>inflA_low</vt:lpstr>
      <vt:lpstr>inflB</vt:lpstr>
      <vt:lpstr>inflB_low</vt:lpstr>
      <vt:lpstr>inv_ret</vt:lpstr>
      <vt:lpstr>pen_fac</vt:lpstr>
      <vt:lpstr>proj_date</vt:lpstr>
      <vt:lpstr>val_data</vt:lpstr>
      <vt:lpstr>val_date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ALEXA486</dc:creator>
  <cp:lastModifiedBy>Rosie Brooks</cp:lastModifiedBy>
  <dcterms:created xsi:type="dcterms:W3CDTF">2016-02-01T14:26:02Z</dcterms:created>
  <dcterms:modified xsi:type="dcterms:W3CDTF">2025-12-02T12:18:32Z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</Properties>
</file>