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osiel\Downloads\"/>
    </mc:Choice>
  </mc:AlternateContent>
  <xr:revisionPtr revIDLastSave="0" documentId="8_{2613013B-8552-4C27-8CF1-A19A0EA6BA9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Q1 Base" sheetId="30" r:id="rId1"/>
    <sheet name="Q1 (i)(ii)(iii)(iv)" sheetId="31" r:id="rId2"/>
    <sheet name="Q1 Answers" sheetId="32" r:id="rId3"/>
    <sheet name="Q2 Base" sheetId="33" r:id="rId4"/>
    <sheet name="Q2 (i)" sheetId="34" r:id="rId5"/>
    <sheet name="Q2 (ii)" sheetId="40" r:id="rId6"/>
    <sheet name="Q2 (ii) Alternative" sheetId="38" r:id="rId7"/>
    <sheet name="Q2 (iii)" sheetId="36" r:id="rId8"/>
    <sheet name="Q2 Answers" sheetId="37" r:id="rId9"/>
    <sheet name="Q3 Base" sheetId="17" r:id="rId10"/>
    <sheet name="Q3 (i)" sheetId="18" r:id="rId11"/>
    <sheet name="Q3 (ii)" sheetId="19" r:id="rId12"/>
    <sheet name="Q3 (iii)" sheetId="28" r:id="rId13"/>
    <sheet name="Q3 (iv)" sheetId="20" r:id="rId14"/>
    <sheet name="Q3 Answers" sheetId="2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7" l="1"/>
  <c r="K7" i="34"/>
  <c r="N8" i="40" l="1"/>
  <c r="E8" i="40"/>
  <c r="G8" i="40" s="1"/>
  <c r="J8" i="40" s="1"/>
  <c r="F8" i="40"/>
  <c r="H8" i="40" s="1"/>
  <c r="K8" i="40" s="1"/>
  <c r="E9" i="40"/>
  <c r="G9" i="40" s="1"/>
  <c r="F9" i="40"/>
  <c r="H9" i="40" s="1"/>
  <c r="E10" i="40"/>
  <c r="G10" i="40" s="1"/>
  <c r="F10" i="40"/>
  <c r="H10" i="40" s="1"/>
  <c r="E11" i="40"/>
  <c r="G11" i="40" s="1"/>
  <c r="F11" i="40"/>
  <c r="H11" i="40" s="1"/>
  <c r="E12" i="40"/>
  <c r="G12" i="40" s="1"/>
  <c r="F12" i="40"/>
  <c r="H12" i="40" s="1"/>
  <c r="F48" i="40"/>
  <c r="H48" i="40" s="1"/>
  <c r="E48" i="40"/>
  <c r="G48" i="40" s="1"/>
  <c r="F47" i="40"/>
  <c r="H47" i="40" s="1"/>
  <c r="E47" i="40"/>
  <c r="G47" i="40" s="1"/>
  <c r="F46" i="40"/>
  <c r="H46" i="40" s="1"/>
  <c r="E46" i="40"/>
  <c r="G46" i="40" s="1"/>
  <c r="F45" i="40"/>
  <c r="H45" i="40" s="1"/>
  <c r="E45" i="40"/>
  <c r="G45" i="40" s="1"/>
  <c r="F44" i="40"/>
  <c r="H44" i="40" s="1"/>
  <c r="E44" i="40"/>
  <c r="G44" i="40" s="1"/>
  <c r="F43" i="40"/>
  <c r="H43" i="40" s="1"/>
  <c r="E43" i="40"/>
  <c r="G43" i="40" s="1"/>
  <c r="F42" i="40"/>
  <c r="H42" i="40" s="1"/>
  <c r="E42" i="40"/>
  <c r="G42" i="40" s="1"/>
  <c r="F41" i="40"/>
  <c r="H41" i="40" s="1"/>
  <c r="E41" i="40"/>
  <c r="G41" i="40" s="1"/>
  <c r="F40" i="40"/>
  <c r="H40" i="40" s="1"/>
  <c r="E40" i="40"/>
  <c r="G40" i="40" s="1"/>
  <c r="F39" i="40"/>
  <c r="H39" i="40" s="1"/>
  <c r="E39" i="40"/>
  <c r="G39" i="40" s="1"/>
  <c r="F38" i="40"/>
  <c r="H38" i="40" s="1"/>
  <c r="E38" i="40"/>
  <c r="G38" i="40" s="1"/>
  <c r="F37" i="40"/>
  <c r="H37" i="40" s="1"/>
  <c r="E37" i="40"/>
  <c r="G37" i="40" s="1"/>
  <c r="F36" i="40"/>
  <c r="H36" i="40" s="1"/>
  <c r="E36" i="40"/>
  <c r="G36" i="40" s="1"/>
  <c r="F35" i="40"/>
  <c r="H35" i="40" s="1"/>
  <c r="E35" i="40"/>
  <c r="G35" i="40" s="1"/>
  <c r="F34" i="40"/>
  <c r="H34" i="40" s="1"/>
  <c r="E34" i="40"/>
  <c r="G34" i="40" s="1"/>
  <c r="F33" i="40"/>
  <c r="H33" i="40" s="1"/>
  <c r="E33" i="40"/>
  <c r="G33" i="40" s="1"/>
  <c r="F32" i="40"/>
  <c r="H32" i="40" s="1"/>
  <c r="E32" i="40"/>
  <c r="G32" i="40" s="1"/>
  <c r="F31" i="40"/>
  <c r="H31" i="40" s="1"/>
  <c r="E31" i="40"/>
  <c r="G31" i="40" s="1"/>
  <c r="F30" i="40"/>
  <c r="H30" i="40" s="1"/>
  <c r="E30" i="40"/>
  <c r="G30" i="40" s="1"/>
  <c r="F29" i="40"/>
  <c r="H29" i="40" s="1"/>
  <c r="E29" i="40"/>
  <c r="G29" i="40" s="1"/>
  <c r="F28" i="40"/>
  <c r="H28" i="40" s="1"/>
  <c r="E28" i="40"/>
  <c r="G28" i="40" s="1"/>
  <c r="F27" i="40"/>
  <c r="H27" i="40" s="1"/>
  <c r="E27" i="40"/>
  <c r="G27" i="40" s="1"/>
  <c r="F26" i="40"/>
  <c r="H26" i="40" s="1"/>
  <c r="E26" i="40"/>
  <c r="G26" i="40" s="1"/>
  <c r="F25" i="40"/>
  <c r="H25" i="40" s="1"/>
  <c r="E25" i="40"/>
  <c r="G25" i="40" s="1"/>
  <c r="F24" i="40"/>
  <c r="H24" i="40" s="1"/>
  <c r="E24" i="40"/>
  <c r="G24" i="40" s="1"/>
  <c r="F23" i="40"/>
  <c r="H23" i="40" s="1"/>
  <c r="E23" i="40"/>
  <c r="G23" i="40" s="1"/>
  <c r="F22" i="40"/>
  <c r="H22" i="40" s="1"/>
  <c r="E22" i="40"/>
  <c r="G22" i="40" s="1"/>
  <c r="F21" i="40"/>
  <c r="H21" i="40" s="1"/>
  <c r="E21" i="40"/>
  <c r="G21" i="40" s="1"/>
  <c r="F20" i="40"/>
  <c r="H20" i="40" s="1"/>
  <c r="E20" i="40"/>
  <c r="G20" i="40" s="1"/>
  <c r="F19" i="40"/>
  <c r="H19" i="40" s="1"/>
  <c r="E19" i="40"/>
  <c r="G19" i="40" s="1"/>
  <c r="F18" i="40"/>
  <c r="H18" i="40" s="1"/>
  <c r="E18" i="40"/>
  <c r="G18" i="40" s="1"/>
  <c r="F17" i="40"/>
  <c r="H17" i="40" s="1"/>
  <c r="E17" i="40"/>
  <c r="G17" i="40" s="1"/>
  <c r="F16" i="40"/>
  <c r="H16" i="40" s="1"/>
  <c r="E16" i="40"/>
  <c r="G16" i="40" s="1"/>
  <c r="F15" i="40"/>
  <c r="H15" i="40" s="1"/>
  <c r="E15" i="40"/>
  <c r="G15" i="40" s="1"/>
  <c r="F14" i="40"/>
  <c r="H14" i="40" s="1"/>
  <c r="E14" i="40"/>
  <c r="G14" i="40" s="1"/>
  <c r="F13" i="40"/>
  <c r="H13" i="40" s="1"/>
  <c r="E13" i="40"/>
  <c r="G13" i="40" s="1"/>
  <c r="B3" i="40"/>
  <c r="B11" i="40" s="1"/>
  <c r="I16" i="40" l="1"/>
  <c r="I22" i="40"/>
  <c r="I14" i="40"/>
  <c r="B22" i="40"/>
  <c r="I37" i="40"/>
  <c r="I39" i="40"/>
  <c r="B10" i="40"/>
  <c r="B42" i="40"/>
  <c r="B38" i="40"/>
  <c r="I12" i="40"/>
  <c r="B26" i="40"/>
  <c r="J9" i="40"/>
  <c r="J10" i="40" s="1"/>
  <c r="J11" i="40" s="1"/>
  <c r="J12" i="40" s="1"/>
  <c r="P13" i="40" s="1"/>
  <c r="R13" i="40" s="1"/>
  <c r="B34" i="40"/>
  <c r="B18" i="40"/>
  <c r="I27" i="40"/>
  <c r="I29" i="40"/>
  <c r="K9" i="40"/>
  <c r="K10" i="40" s="1"/>
  <c r="K11" i="40" s="1"/>
  <c r="K12" i="40" s="1"/>
  <c r="K13" i="40" s="1"/>
  <c r="K14" i="40" s="1"/>
  <c r="K15" i="40" s="1"/>
  <c r="K16" i="40" s="1"/>
  <c r="K17" i="40" s="1"/>
  <c r="K18" i="40" s="1"/>
  <c r="K19" i="40" s="1"/>
  <c r="K20" i="40" s="1"/>
  <c r="K21" i="40" s="1"/>
  <c r="K22" i="40" s="1"/>
  <c r="K23" i="40" s="1"/>
  <c r="K24" i="40" s="1"/>
  <c r="K25" i="40" s="1"/>
  <c r="K26" i="40" s="1"/>
  <c r="K27" i="40" s="1"/>
  <c r="K28" i="40" s="1"/>
  <c r="K29" i="40" s="1"/>
  <c r="K30" i="40" s="1"/>
  <c r="K31" i="40" s="1"/>
  <c r="K32" i="40" s="1"/>
  <c r="K33" i="40" s="1"/>
  <c r="K34" i="40" s="1"/>
  <c r="K35" i="40" s="1"/>
  <c r="K36" i="40" s="1"/>
  <c r="K37" i="40" s="1"/>
  <c r="K38" i="40" s="1"/>
  <c r="K39" i="40" s="1"/>
  <c r="K40" i="40" s="1"/>
  <c r="K41" i="40" s="1"/>
  <c r="K42" i="40" s="1"/>
  <c r="K43" i="40" s="1"/>
  <c r="K44" i="40" s="1"/>
  <c r="K45" i="40" s="1"/>
  <c r="K46" i="40" s="1"/>
  <c r="K47" i="40" s="1"/>
  <c r="K48" i="40" s="1"/>
  <c r="B46" i="40"/>
  <c r="B30" i="40"/>
  <c r="B14" i="40"/>
  <c r="I11" i="40"/>
  <c r="B45" i="40"/>
  <c r="B37" i="40"/>
  <c r="B29" i="40"/>
  <c r="B21" i="40"/>
  <c r="B13" i="40"/>
  <c r="I10" i="40"/>
  <c r="B9" i="40"/>
  <c r="B41" i="40"/>
  <c r="B33" i="40"/>
  <c r="B25" i="40"/>
  <c r="B17" i="40"/>
  <c r="B48" i="40"/>
  <c r="B44" i="40"/>
  <c r="B40" i="40"/>
  <c r="B36" i="40"/>
  <c r="B32" i="40"/>
  <c r="B28" i="40"/>
  <c r="B24" i="40"/>
  <c r="B20" i="40"/>
  <c r="B16" i="40"/>
  <c r="B12" i="40"/>
  <c r="B47" i="40"/>
  <c r="B43" i="40"/>
  <c r="B39" i="40"/>
  <c r="B35" i="40"/>
  <c r="B31" i="40"/>
  <c r="B27" i="40"/>
  <c r="B23" i="40"/>
  <c r="B19" i="40"/>
  <c r="B15" i="40"/>
  <c r="I8" i="40"/>
  <c r="L8" i="40" s="1"/>
  <c r="I45" i="40"/>
  <c r="I15" i="40"/>
  <c r="I17" i="40"/>
  <c r="I35" i="40"/>
  <c r="I43" i="40"/>
  <c r="I21" i="40"/>
  <c r="I26" i="40"/>
  <c r="I9" i="40"/>
  <c r="I13" i="40"/>
  <c r="I20" i="40"/>
  <c r="I30" i="40"/>
  <c r="I33" i="40"/>
  <c r="I41" i="40"/>
  <c r="I32" i="40"/>
  <c r="I19" i="40"/>
  <c r="I25" i="40"/>
  <c r="I47" i="40"/>
  <c r="I18" i="40"/>
  <c r="I31" i="40"/>
  <c r="I23" i="40"/>
  <c r="I28" i="40"/>
  <c r="I34" i="40"/>
  <c r="I38" i="40"/>
  <c r="I42" i="40"/>
  <c r="I46" i="40"/>
  <c r="I24" i="40"/>
  <c r="I36" i="40"/>
  <c r="I40" i="40"/>
  <c r="I44" i="40"/>
  <c r="I48" i="40"/>
  <c r="B4" i="40"/>
  <c r="L9" i="40" l="1"/>
  <c r="N9" i="40"/>
  <c r="J13" i="40"/>
  <c r="Q13" i="40"/>
  <c r="T13" i="40" l="1"/>
  <c r="S13" i="40"/>
  <c r="L10" i="40"/>
  <c r="N10" i="40"/>
  <c r="J14" i="40"/>
  <c r="Q14" i="40"/>
  <c r="S14" i="40" s="1"/>
  <c r="P14" i="40"/>
  <c r="R14" i="40" s="1"/>
  <c r="L11" i="40" l="1"/>
  <c r="N11" i="40"/>
  <c r="T14" i="40"/>
  <c r="J15" i="40"/>
  <c r="Q15" i="40"/>
  <c r="S15" i="40" s="1"/>
  <c r="P15" i="40"/>
  <c r="R15" i="40" s="1"/>
  <c r="L12" i="40" l="1"/>
  <c r="N12" i="40"/>
  <c r="T15" i="40"/>
  <c r="J16" i="40"/>
  <c r="Q16" i="40"/>
  <c r="S16" i="40" s="1"/>
  <c r="P16" i="40"/>
  <c r="R16" i="40" s="1"/>
  <c r="M13" i="40" l="1"/>
  <c r="N13" i="40" s="1"/>
  <c r="L13" i="40"/>
  <c r="T16" i="40"/>
  <c r="J17" i="40"/>
  <c r="Q17" i="40"/>
  <c r="S17" i="40" s="1"/>
  <c r="P17" i="40"/>
  <c r="R17" i="40" s="1"/>
  <c r="M14" i="40" l="1"/>
  <c r="N14" i="40" s="1"/>
  <c r="L14" i="40"/>
  <c r="T17" i="40"/>
  <c r="J18" i="40"/>
  <c r="P18" i="40"/>
  <c r="R18" i="40" s="1"/>
  <c r="Q18" i="40"/>
  <c r="S18" i="40" s="1"/>
  <c r="M15" i="40" l="1"/>
  <c r="N15" i="40" s="1"/>
  <c r="L15" i="40"/>
  <c r="T18" i="40"/>
  <c r="J19" i="40"/>
  <c r="Q19" i="40"/>
  <c r="S19" i="40" s="1"/>
  <c r="P19" i="40"/>
  <c r="T19" i="40" l="1"/>
  <c r="R19" i="40"/>
  <c r="M16" i="40"/>
  <c r="N16" i="40" s="1"/>
  <c r="L16" i="40"/>
  <c r="J20" i="40"/>
  <c r="Q20" i="40"/>
  <c r="S20" i="40" s="1"/>
  <c r="P20" i="40"/>
  <c r="T20" i="40" l="1"/>
  <c r="R20" i="40"/>
  <c r="L17" i="40"/>
  <c r="M17" i="40"/>
  <c r="N17" i="40" s="1"/>
  <c r="J21" i="40"/>
  <c r="Q21" i="40"/>
  <c r="S21" i="40" s="1"/>
  <c r="P21" i="40"/>
  <c r="T21" i="40" l="1"/>
  <c r="R21" i="40"/>
  <c r="M18" i="40"/>
  <c r="N18" i="40" s="1"/>
  <c r="L18" i="40"/>
  <c r="J22" i="40"/>
  <c r="Q22" i="40"/>
  <c r="S22" i="40" s="1"/>
  <c r="P22" i="40"/>
  <c r="R22" i="40" s="1"/>
  <c r="M19" i="40" l="1"/>
  <c r="N19" i="40" s="1"/>
  <c r="L19" i="40"/>
  <c r="T22" i="40"/>
  <c r="J23" i="40"/>
  <c r="Q23" i="40"/>
  <c r="S23" i="40" s="1"/>
  <c r="P23" i="40"/>
  <c r="T23" i="40" l="1"/>
  <c r="R23" i="40"/>
  <c r="M20" i="40"/>
  <c r="N20" i="40" s="1"/>
  <c r="L20" i="40"/>
  <c r="J24" i="40"/>
  <c r="Q24" i="40"/>
  <c r="S24" i="40" s="1"/>
  <c r="P24" i="40"/>
  <c r="R24" i="40" s="1"/>
  <c r="L21" i="40" l="1"/>
  <c r="M21" i="40"/>
  <c r="N21" i="40" s="1"/>
  <c r="T24" i="40"/>
  <c r="J25" i="40"/>
  <c r="Q25" i="40"/>
  <c r="S25" i="40" s="1"/>
  <c r="P25" i="40"/>
  <c r="R25" i="40" s="1"/>
  <c r="L22" i="40" l="1"/>
  <c r="M22" i="40"/>
  <c r="N22" i="40" s="1"/>
  <c r="T25" i="40"/>
  <c r="J26" i="40"/>
  <c r="Q26" i="40"/>
  <c r="S26" i="40" s="1"/>
  <c r="P26" i="40"/>
  <c r="R26" i="40" s="1"/>
  <c r="M23" i="40" l="1"/>
  <c r="N23" i="40" s="1"/>
  <c r="L23" i="40"/>
  <c r="T26" i="40"/>
  <c r="J27" i="40"/>
  <c r="P27" i="40"/>
  <c r="R27" i="40" s="1"/>
  <c r="Q27" i="40"/>
  <c r="S27" i="40" s="1"/>
  <c r="L24" i="40" l="1"/>
  <c r="M24" i="40"/>
  <c r="N24" i="40" s="1"/>
  <c r="T27" i="40"/>
  <c r="J28" i="40"/>
  <c r="Q28" i="40"/>
  <c r="S28" i="40" s="1"/>
  <c r="P28" i="40"/>
  <c r="T28" i="40" l="1"/>
  <c r="R28" i="40"/>
  <c r="M25" i="40"/>
  <c r="N25" i="40" s="1"/>
  <c r="L25" i="40"/>
  <c r="J29" i="40"/>
  <c r="Q29" i="40"/>
  <c r="S29" i="40" s="1"/>
  <c r="P29" i="40"/>
  <c r="R29" i="40" s="1"/>
  <c r="L26" i="40" l="1"/>
  <c r="M26" i="40"/>
  <c r="N26" i="40" s="1"/>
  <c r="T29" i="40"/>
  <c r="J30" i="40"/>
  <c r="Q30" i="40"/>
  <c r="S30" i="40" s="1"/>
  <c r="P30" i="40"/>
  <c r="R30" i="40" s="1"/>
  <c r="M27" i="40" l="1"/>
  <c r="N27" i="40" s="1"/>
  <c r="L27" i="40"/>
  <c r="T30" i="40"/>
  <c r="J31" i="40"/>
  <c r="Q31" i="40"/>
  <c r="S31" i="40" s="1"/>
  <c r="P31" i="40"/>
  <c r="T31" i="40" l="1"/>
  <c r="R31" i="40"/>
  <c r="L28" i="40"/>
  <c r="M28" i="40"/>
  <c r="N28" i="40" s="1"/>
  <c r="J32" i="40"/>
  <c r="Q32" i="40"/>
  <c r="S32" i="40" s="1"/>
  <c r="P32" i="40"/>
  <c r="R32" i="40" s="1"/>
  <c r="M29" i="40" l="1"/>
  <c r="N29" i="40" s="1"/>
  <c r="L29" i="40"/>
  <c r="T32" i="40"/>
  <c r="J33" i="40"/>
  <c r="Q33" i="40"/>
  <c r="S33" i="40" s="1"/>
  <c r="P33" i="40"/>
  <c r="T33" i="40" l="1"/>
  <c r="R33" i="40"/>
  <c r="L30" i="40"/>
  <c r="M30" i="40"/>
  <c r="N30" i="40" s="1"/>
  <c r="J34" i="40"/>
  <c r="Q34" i="40"/>
  <c r="S34" i="40" s="1"/>
  <c r="P34" i="40"/>
  <c r="R34" i="40" s="1"/>
  <c r="L31" i="40" l="1"/>
  <c r="M31" i="40"/>
  <c r="N31" i="40" s="1"/>
  <c r="T34" i="40"/>
  <c r="J35" i="40"/>
  <c r="Q35" i="40"/>
  <c r="S35" i="40" s="1"/>
  <c r="P35" i="40"/>
  <c r="R35" i="40" s="1"/>
  <c r="M32" i="40" l="1"/>
  <c r="N32" i="40" s="1"/>
  <c r="L32" i="40"/>
  <c r="T35" i="40"/>
  <c r="J36" i="40"/>
  <c r="Q36" i="40"/>
  <c r="S36" i="40" s="1"/>
  <c r="P36" i="40"/>
  <c r="R36" i="40" s="1"/>
  <c r="L33" i="40" l="1"/>
  <c r="M33" i="40"/>
  <c r="N33" i="40" s="1"/>
  <c r="T36" i="40"/>
  <c r="J37" i="40"/>
  <c r="Q37" i="40"/>
  <c r="S37" i="40" s="1"/>
  <c r="P37" i="40"/>
  <c r="R37" i="40" s="1"/>
  <c r="L34" i="40" l="1"/>
  <c r="M34" i="40"/>
  <c r="N34" i="40" s="1"/>
  <c r="T37" i="40"/>
  <c r="J38" i="40"/>
  <c r="Q38" i="40"/>
  <c r="S38" i="40" s="1"/>
  <c r="P38" i="40"/>
  <c r="R38" i="40" s="1"/>
  <c r="M35" i="40" l="1"/>
  <c r="N35" i="40" s="1"/>
  <c r="L35" i="40"/>
  <c r="T38" i="40"/>
  <c r="J39" i="40"/>
  <c r="Q39" i="40"/>
  <c r="S39" i="40" s="1"/>
  <c r="P39" i="40"/>
  <c r="R39" i="40" s="1"/>
  <c r="L36" i="40" l="1"/>
  <c r="M36" i="40"/>
  <c r="N36" i="40" s="1"/>
  <c r="T39" i="40"/>
  <c r="J40" i="40"/>
  <c r="Q40" i="40"/>
  <c r="S40" i="40" s="1"/>
  <c r="P40" i="40"/>
  <c r="R40" i="40" s="1"/>
  <c r="M37" i="40" l="1"/>
  <c r="N37" i="40" s="1"/>
  <c r="L37" i="40"/>
  <c r="T40" i="40"/>
  <c r="J41" i="40"/>
  <c r="Q41" i="40"/>
  <c r="S41" i="40" s="1"/>
  <c r="P41" i="40"/>
  <c r="R41" i="40" s="1"/>
  <c r="L38" i="40" l="1"/>
  <c r="M38" i="40"/>
  <c r="N38" i="40" s="1"/>
  <c r="T41" i="40"/>
  <c r="J42" i="40"/>
  <c r="Q42" i="40"/>
  <c r="S42" i="40" s="1"/>
  <c r="P42" i="40"/>
  <c r="R42" i="40" s="1"/>
  <c r="M39" i="40" l="1"/>
  <c r="N39" i="40" s="1"/>
  <c r="L39" i="40"/>
  <c r="T42" i="40"/>
  <c r="J43" i="40"/>
  <c r="P43" i="40"/>
  <c r="R43" i="40" s="1"/>
  <c r="Q43" i="40"/>
  <c r="S43" i="40" s="1"/>
  <c r="L40" i="40" l="1"/>
  <c r="M40" i="40"/>
  <c r="N40" i="40" s="1"/>
  <c r="T43" i="40"/>
  <c r="J44" i="40"/>
  <c r="Q44" i="40"/>
  <c r="S44" i="40" s="1"/>
  <c r="P44" i="40"/>
  <c r="R44" i="40" s="1"/>
  <c r="M41" i="40" l="1"/>
  <c r="N41" i="40" s="1"/>
  <c r="L41" i="40"/>
  <c r="T44" i="40"/>
  <c r="J45" i="40"/>
  <c r="Q45" i="40"/>
  <c r="S45" i="40" s="1"/>
  <c r="P45" i="40"/>
  <c r="T45" i="40" l="1"/>
  <c r="R45" i="40"/>
  <c r="L42" i="40"/>
  <c r="M42" i="40"/>
  <c r="N42" i="40" s="1"/>
  <c r="J46" i="40"/>
  <c r="Q46" i="40"/>
  <c r="S46" i="40" s="1"/>
  <c r="P46" i="40"/>
  <c r="R46" i="40" s="1"/>
  <c r="M43" i="40" l="1"/>
  <c r="N43" i="40" s="1"/>
  <c r="L43" i="40"/>
  <c r="T46" i="40"/>
  <c r="J47" i="40"/>
  <c r="Q47" i="40"/>
  <c r="S47" i="40" s="1"/>
  <c r="P47" i="40"/>
  <c r="R47" i="40" s="1"/>
  <c r="L44" i="40" l="1"/>
  <c r="M44" i="40"/>
  <c r="N44" i="40" s="1"/>
  <c r="T47" i="40"/>
  <c r="J48" i="40"/>
  <c r="Q48" i="40"/>
  <c r="S48" i="40" s="1"/>
  <c r="S6" i="40" s="1"/>
  <c r="P48" i="40"/>
  <c r="R48" i="40" s="1"/>
  <c r="R6" i="40" s="1"/>
  <c r="M45" i="40" l="1"/>
  <c r="N45" i="40" s="1"/>
  <c r="L45" i="40"/>
  <c r="T48" i="40"/>
  <c r="T6" i="40" l="1"/>
  <c r="X9" i="40"/>
  <c r="L46" i="40"/>
  <c r="M46" i="40"/>
  <c r="N46" i="40" s="1"/>
  <c r="M47" i="40" l="1"/>
  <c r="N47" i="40" s="1"/>
  <c r="L47" i="40"/>
  <c r="F43" i="38"/>
  <c r="H43" i="38" s="1"/>
  <c r="E43" i="38"/>
  <c r="G43" i="38" s="1"/>
  <c r="F42" i="38"/>
  <c r="H42" i="38" s="1"/>
  <c r="E42" i="38"/>
  <c r="G42" i="38" s="1"/>
  <c r="F41" i="38"/>
  <c r="H41" i="38" s="1"/>
  <c r="E41" i="38"/>
  <c r="G41" i="38" s="1"/>
  <c r="F40" i="38"/>
  <c r="H40" i="38" s="1"/>
  <c r="E40" i="38"/>
  <c r="G40" i="38" s="1"/>
  <c r="F39" i="38"/>
  <c r="H39" i="38" s="1"/>
  <c r="E39" i="38"/>
  <c r="G39" i="38" s="1"/>
  <c r="F38" i="38"/>
  <c r="H38" i="38" s="1"/>
  <c r="E38" i="38"/>
  <c r="G38" i="38" s="1"/>
  <c r="F37" i="38"/>
  <c r="H37" i="38" s="1"/>
  <c r="E37" i="38"/>
  <c r="G37" i="38" s="1"/>
  <c r="F36" i="38"/>
  <c r="H36" i="38" s="1"/>
  <c r="E36" i="38"/>
  <c r="G36" i="38" s="1"/>
  <c r="F35" i="38"/>
  <c r="H35" i="38" s="1"/>
  <c r="E35" i="38"/>
  <c r="G35" i="38" s="1"/>
  <c r="F34" i="38"/>
  <c r="H34" i="38" s="1"/>
  <c r="E34" i="38"/>
  <c r="G34" i="38" s="1"/>
  <c r="F33" i="38"/>
  <c r="H33" i="38" s="1"/>
  <c r="E33" i="38"/>
  <c r="G33" i="38" s="1"/>
  <c r="F32" i="38"/>
  <c r="H32" i="38" s="1"/>
  <c r="E32" i="38"/>
  <c r="G32" i="38" s="1"/>
  <c r="F31" i="38"/>
  <c r="H31" i="38" s="1"/>
  <c r="E31" i="38"/>
  <c r="G31" i="38" s="1"/>
  <c r="F30" i="38"/>
  <c r="H30" i="38" s="1"/>
  <c r="E30" i="38"/>
  <c r="G30" i="38" s="1"/>
  <c r="F29" i="38"/>
  <c r="H29" i="38" s="1"/>
  <c r="E29" i="38"/>
  <c r="G29" i="38" s="1"/>
  <c r="F28" i="38"/>
  <c r="H28" i="38" s="1"/>
  <c r="E28" i="38"/>
  <c r="G28" i="38" s="1"/>
  <c r="F27" i="38"/>
  <c r="H27" i="38" s="1"/>
  <c r="E27" i="38"/>
  <c r="G27" i="38" s="1"/>
  <c r="F26" i="38"/>
  <c r="H26" i="38" s="1"/>
  <c r="E26" i="38"/>
  <c r="G26" i="38" s="1"/>
  <c r="F25" i="38"/>
  <c r="H25" i="38" s="1"/>
  <c r="E25" i="38"/>
  <c r="G25" i="38" s="1"/>
  <c r="F24" i="38"/>
  <c r="H24" i="38" s="1"/>
  <c r="E24" i="38"/>
  <c r="G24" i="38" s="1"/>
  <c r="F23" i="38"/>
  <c r="H23" i="38" s="1"/>
  <c r="E23" i="38"/>
  <c r="G23" i="38" s="1"/>
  <c r="F22" i="38"/>
  <c r="H22" i="38" s="1"/>
  <c r="E22" i="38"/>
  <c r="G22" i="38" s="1"/>
  <c r="F21" i="38"/>
  <c r="H21" i="38" s="1"/>
  <c r="E21" i="38"/>
  <c r="G21" i="38" s="1"/>
  <c r="F20" i="38"/>
  <c r="H20" i="38" s="1"/>
  <c r="E20" i="38"/>
  <c r="G20" i="38" s="1"/>
  <c r="F19" i="38"/>
  <c r="H19" i="38" s="1"/>
  <c r="E19" i="38"/>
  <c r="G19" i="38" s="1"/>
  <c r="I19" i="38" s="1"/>
  <c r="F18" i="38"/>
  <c r="H18" i="38" s="1"/>
  <c r="E18" i="38"/>
  <c r="G18" i="38" s="1"/>
  <c r="F17" i="38"/>
  <c r="H17" i="38" s="1"/>
  <c r="E17" i="38"/>
  <c r="G17" i="38" s="1"/>
  <c r="I17" i="38" s="1"/>
  <c r="F16" i="38"/>
  <c r="H16" i="38" s="1"/>
  <c r="E16" i="38"/>
  <c r="G16" i="38" s="1"/>
  <c r="F15" i="38"/>
  <c r="H15" i="38" s="1"/>
  <c r="E15" i="38"/>
  <c r="G15" i="38" s="1"/>
  <c r="F14" i="38"/>
  <c r="H14" i="38" s="1"/>
  <c r="E14" i="38"/>
  <c r="G14" i="38" s="1"/>
  <c r="F13" i="38"/>
  <c r="H13" i="38" s="1"/>
  <c r="E13" i="38"/>
  <c r="G13" i="38" s="1"/>
  <c r="P12" i="38"/>
  <c r="R12" i="38" s="1"/>
  <c r="O12" i="38"/>
  <c r="Q12" i="38" s="1"/>
  <c r="F12" i="38"/>
  <c r="H12" i="38" s="1"/>
  <c r="E12" i="38"/>
  <c r="G12" i="38" s="1"/>
  <c r="P11" i="38"/>
  <c r="R11" i="38" s="1"/>
  <c r="O11" i="38"/>
  <c r="Q11" i="38" s="1"/>
  <c r="F11" i="38"/>
  <c r="H11" i="38" s="1"/>
  <c r="E11" i="38"/>
  <c r="G11" i="38" s="1"/>
  <c r="Y18" i="38"/>
  <c r="P10" i="38"/>
  <c r="R10" i="38" s="1"/>
  <c r="O10" i="38"/>
  <c r="Q10" i="38" s="1"/>
  <c r="F10" i="38"/>
  <c r="H10" i="38" s="1"/>
  <c r="E10" i="38"/>
  <c r="G10" i="38" s="1"/>
  <c r="P9" i="38"/>
  <c r="R9" i="38" s="1"/>
  <c r="O9" i="38"/>
  <c r="Q9" i="38" s="1"/>
  <c r="F9" i="38"/>
  <c r="H9" i="38" s="1"/>
  <c r="E9" i="38"/>
  <c r="G9" i="38" s="1"/>
  <c r="P8" i="38"/>
  <c r="R8" i="38" s="1"/>
  <c r="Y3" i="38" s="1"/>
  <c r="O8" i="38"/>
  <c r="Q8" i="38" s="1"/>
  <c r="F8" i="38"/>
  <c r="H8" i="38" s="1"/>
  <c r="E8" i="38"/>
  <c r="G8" i="38" s="1"/>
  <c r="B3" i="38"/>
  <c r="B14" i="18"/>
  <c r="B10" i="18"/>
  <c r="B9" i="18"/>
  <c r="B13" i="18"/>
  <c r="B12" i="18"/>
  <c r="B8" i="18"/>
  <c r="B7" i="18"/>
  <c r="B6" i="18"/>
  <c r="B11" i="18"/>
  <c r="P21" i="18" s="1"/>
  <c r="D5" i="18"/>
  <c r="B5" i="18"/>
  <c r="J5" i="28"/>
  <c r="T42" i="34"/>
  <c r="S42" i="34"/>
  <c r="T41" i="34"/>
  <c r="S41" i="34"/>
  <c r="T40" i="34"/>
  <c r="S40" i="34"/>
  <c r="T39" i="34"/>
  <c r="S39" i="34"/>
  <c r="T38" i="34"/>
  <c r="S38" i="34"/>
  <c r="T37" i="34"/>
  <c r="S37" i="34"/>
  <c r="T36" i="34"/>
  <c r="S36" i="34"/>
  <c r="T35" i="34"/>
  <c r="S35" i="34"/>
  <c r="T34" i="34"/>
  <c r="S34" i="34"/>
  <c r="T33" i="34"/>
  <c r="S33" i="34"/>
  <c r="T32" i="34"/>
  <c r="S32" i="34"/>
  <c r="T31" i="34"/>
  <c r="S31" i="34"/>
  <c r="T30" i="34"/>
  <c r="S30" i="34"/>
  <c r="T29" i="34"/>
  <c r="S29" i="34"/>
  <c r="T28" i="34"/>
  <c r="S28" i="34"/>
  <c r="T27" i="34"/>
  <c r="S27" i="34"/>
  <c r="T26" i="34"/>
  <c r="S26" i="34"/>
  <c r="T25" i="34"/>
  <c r="S25" i="34"/>
  <c r="T24" i="34"/>
  <c r="S24" i="34"/>
  <c r="T23" i="34"/>
  <c r="S23" i="34"/>
  <c r="T22" i="34"/>
  <c r="S22" i="34"/>
  <c r="T21" i="34"/>
  <c r="S21" i="34"/>
  <c r="T20" i="34"/>
  <c r="S20" i="34"/>
  <c r="T19" i="34"/>
  <c r="S19" i="34"/>
  <c r="T18" i="34"/>
  <c r="S18" i="34"/>
  <c r="T17" i="34"/>
  <c r="S17" i="34"/>
  <c r="T16" i="34"/>
  <c r="S16" i="34"/>
  <c r="T15" i="34"/>
  <c r="S15" i="34"/>
  <c r="T14" i="34"/>
  <c r="S14" i="34"/>
  <c r="T13" i="34"/>
  <c r="S13" i="34"/>
  <c r="T12" i="34"/>
  <c r="S12" i="34"/>
  <c r="T11" i="34"/>
  <c r="S11" i="34"/>
  <c r="T10" i="34"/>
  <c r="S10" i="34"/>
  <c r="T9" i="34"/>
  <c r="S9" i="34"/>
  <c r="T8" i="34"/>
  <c r="S8" i="34"/>
  <c r="T7" i="34"/>
  <c r="X7" i="34" s="1"/>
  <c r="W8" i="34" s="1"/>
  <c r="S7" i="34"/>
  <c r="V7" i="34" s="1"/>
  <c r="U8" i="34" s="1"/>
  <c r="F41" i="34"/>
  <c r="E41" i="34"/>
  <c r="G41" i="34" s="1"/>
  <c r="F40" i="34"/>
  <c r="E40" i="34"/>
  <c r="G40" i="34" s="1"/>
  <c r="F39" i="34"/>
  <c r="H39" i="34" s="1"/>
  <c r="E39" i="34"/>
  <c r="G39" i="34" s="1"/>
  <c r="F38" i="34"/>
  <c r="H38" i="34" s="1"/>
  <c r="E38" i="34"/>
  <c r="G38" i="34" s="1"/>
  <c r="F37" i="34"/>
  <c r="H37" i="34" s="1"/>
  <c r="E37" i="34"/>
  <c r="G37" i="34" s="1"/>
  <c r="F36" i="34"/>
  <c r="H36" i="34" s="1"/>
  <c r="E36" i="34"/>
  <c r="G36" i="34" s="1"/>
  <c r="F35" i="34"/>
  <c r="H35" i="34" s="1"/>
  <c r="E35" i="34"/>
  <c r="G35" i="34" s="1"/>
  <c r="F34" i="34"/>
  <c r="H34" i="34" s="1"/>
  <c r="E34" i="34"/>
  <c r="G34" i="34" s="1"/>
  <c r="F33" i="34"/>
  <c r="E33" i="34"/>
  <c r="G33" i="34" s="1"/>
  <c r="F32" i="34"/>
  <c r="E32" i="34"/>
  <c r="G32" i="34" s="1"/>
  <c r="F31" i="34"/>
  <c r="H31" i="34" s="1"/>
  <c r="E31" i="34"/>
  <c r="F30" i="34"/>
  <c r="H30" i="34" s="1"/>
  <c r="E30" i="34"/>
  <c r="G30" i="34" s="1"/>
  <c r="F29" i="34"/>
  <c r="H29" i="34" s="1"/>
  <c r="E29" i="34"/>
  <c r="F28" i="34"/>
  <c r="H28" i="34" s="1"/>
  <c r="E28" i="34"/>
  <c r="G28" i="34" s="1"/>
  <c r="F27" i="34"/>
  <c r="H27" i="34" s="1"/>
  <c r="E27" i="34"/>
  <c r="G27" i="34" s="1"/>
  <c r="F26" i="34"/>
  <c r="E26" i="34"/>
  <c r="G26" i="34" s="1"/>
  <c r="I26" i="34" s="1"/>
  <c r="J26" i="34" s="1"/>
  <c r="F25" i="34"/>
  <c r="H25" i="34" s="1"/>
  <c r="E25" i="34"/>
  <c r="G25" i="34" s="1"/>
  <c r="F24" i="34"/>
  <c r="H24" i="34" s="1"/>
  <c r="E24" i="34"/>
  <c r="G24" i="34" s="1"/>
  <c r="F23" i="34"/>
  <c r="H23" i="34" s="1"/>
  <c r="E23" i="34"/>
  <c r="F22" i="34"/>
  <c r="H22" i="34" s="1"/>
  <c r="E22" i="34"/>
  <c r="G22" i="34" s="1"/>
  <c r="F21" i="34"/>
  <c r="H21" i="34" s="1"/>
  <c r="E21" i="34"/>
  <c r="G21" i="34" s="1"/>
  <c r="F20" i="34"/>
  <c r="H20" i="34" s="1"/>
  <c r="E20" i="34"/>
  <c r="G20" i="34" s="1"/>
  <c r="F19" i="34"/>
  <c r="H19" i="34" s="1"/>
  <c r="E19" i="34"/>
  <c r="G19" i="34" s="1"/>
  <c r="F18" i="34"/>
  <c r="H18" i="34" s="1"/>
  <c r="E18" i="34"/>
  <c r="G18" i="34" s="1"/>
  <c r="F17" i="34"/>
  <c r="E17" i="34"/>
  <c r="G17" i="34" s="1"/>
  <c r="F16" i="34"/>
  <c r="H16" i="34" s="1"/>
  <c r="E16" i="34"/>
  <c r="G16" i="34" s="1"/>
  <c r="F15" i="34"/>
  <c r="H15" i="34" s="1"/>
  <c r="E15" i="34"/>
  <c r="F14" i="34"/>
  <c r="H14" i="34" s="1"/>
  <c r="E14" i="34"/>
  <c r="G14" i="34" s="1"/>
  <c r="F13" i="34"/>
  <c r="H13" i="34" s="1"/>
  <c r="E13" i="34"/>
  <c r="G13" i="34" s="1"/>
  <c r="F12" i="34"/>
  <c r="H12" i="34" s="1"/>
  <c r="E12" i="34"/>
  <c r="G12" i="34" s="1"/>
  <c r="F11" i="34"/>
  <c r="E11" i="34"/>
  <c r="G11" i="34" s="1"/>
  <c r="F10" i="34"/>
  <c r="E10" i="34"/>
  <c r="G10" i="34" s="1"/>
  <c r="I10" i="34" s="1"/>
  <c r="J10" i="34" s="1"/>
  <c r="F9" i="34"/>
  <c r="H9" i="34" s="1"/>
  <c r="E9" i="34"/>
  <c r="G9" i="34" s="1"/>
  <c r="F8" i="34"/>
  <c r="E8" i="34"/>
  <c r="G8" i="34" s="1"/>
  <c r="F7" i="34"/>
  <c r="H7" i="34" s="1"/>
  <c r="E7" i="34"/>
  <c r="H41" i="34"/>
  <c r="H40" i="34"/>
  <c r="H33" i="34"/>
  <c r="H32" i="34"/>
  <c r="G31" i="34"/>
  <c r="G29" i="34"/>
  <c r="H26" i="34"/>
  <c r="G23" i="34"/>
  <c r="H17" i="34"/>
  <c r="G15" i="34"/>
  <c r="H11" i="34"/>
  <c r="H10" i="34"/>
  <c r="H8" i="34"/>
  <c r="Y7" i="34"/>
  <c r="G7" i="34"/>
  <c r="R3" i="34"/>
  <c r="R7" i="34" s="1"/>
  <c r="B3" i="34"/>
  <c r="B7" i="34" s="1"/>
  <c r="B8" i="34" s="1"/>
  <c r="B9" i="34" s="1"/>
  <c r="B10" i="34" s="1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I18" i="34" l="1"/>
  <c r="J18" i="34" s="1"/>
  <c r="R8" i="34"/>
  <c r="R9" i="34" s="1"/>
  <c r="R10" i="34" s="1"/>
  <c r="R11" i="34" s="1"/>
  <c r="R12" i="34" s="1"/>
  <c r="R13" i="34" s="1"/>
  <c r="R14" i="34" s="1"/>
  <c r="R15" i="34" s="1"/>
  <c r="R16" i="34" s="1"/>
  <c r="R17" i="34" s="1"/>
  <c r="R18" i="34" s="1"/>
  <c r="R19" i="34" s="1"/>
  <c r="R20" i="34" s="1"/>
  <c r="R21" i="34" s="1"/>
  <c r="R22" i="34" s="1"/>
  <c r="R23" i="34" s="1"/>
  <c r="R24" i="34" s="1"/>
  <c r="R25" i="34" s="1"/>
  <c r="R26" i="34" s="1"/>
  <c r="R27" i="34" s="1"/>
  <c r="R28" i="34" s="1"/>
  <c r="R29" i="34" s="1"/>
  <c r="R30" i="34" s="1"/>
  <c r="R31" i="34" s="1"/>
  <c r="R32" i="34" s="1"/>
  <c r="R33" i="34" s="1"/>
  <c r="R34" i="34" s="1"/>
  <c r="R35" i="34" s="1"/>
  <c r="R36" i="34" s="1"/>
  <c r="R37" i="34" s="1"/>
  <c r="R38" i="34" s="1"/>
  <c r="R39" i="34" s="1"/>
  <c r="R40" i="34" s="1"/>
  <c r="R41" i="34" s="1"/>
  <c r="R42" i="34" s="1"/>
  <c r="AA42" i="34" s="1"/>
  <c r="M48" i="40"/>
  <c r="N48" i="40" s="1"/>
  <c r="L48" i="40"/>
  <c r="I16" i="34"/>
  <c r="J16" i="34" s="1"/>
  <c r="I22" i="34"/>
  <c r="J22" i="34" s="1"/>
  <c r="I30" i="34"/>
  <c r="J30" i="34" s="1"/>
  <c r="I8" i="34"/>
  <c r="J8" i="34" s="1"/>
  <c r="I36" i="38"/>
  <c r="I40" i="38"/>
  <c r="B4" i="38"/>
  <c r="T5" i="38" s="1"/>
  <c r="Y8" i="38" s="1"/>
  <c r="I9" i="38"/>
  <c r="I10" i="38"/>
  <c r="Y5" i="38"/>
  <c r="Y2" i="38"/>
  <c r="Y4" i="38" s="1"/>
  <c r="I43" i="38"/>
  <c r="I33" i="38"/>
  <c r="I41" i="38"/>
  <c r="I11" i="38"/>
  <c r="I12" i="38"/>
  <c r="I13" i="38"/>
  <c r="I18" i="38"/>
  <c r="I34" i="38"/>
  <c r="I38" i="38"/>
  <c r="J38" i="38" s="1"/>
  <c r="I25" i="38"/>
  <c r="I26" i="38"/>
  <c r="I37" i="38"/>
  <c r="I15" i="38"/>
  <c r="I23" i="38"/>
  <c r="I29" i="38"/>
  <c r="I30" i="38"/>
  <c r="I14" i="38"/>
  <c r="I27" i="38"/>
  <c r="I24" i="38"/>
  <c r="I28" i="38"/>
  <c r="I31" i="38"/>
  <c r="I16" i="38"/>
  <c r="I22" i="38"/>
  <c r="I32" i="38"/>
  <c r="I35" i="38"/>
  <c r="I39" i="38"/>
  <c r="I8" i="38"/>
  <c r="I21" i="38"/>
  <c r="I20" i="38"/>
  <c r="I42" i="38"/>
  <c r="L43" i="38"/>
  <c r="L42" i="38" s="1"/>
  <c r="L41" i="38" s="1"/>
  <c r="L40" i="38" s="1"/>
  <c r="L39" i="38" s="1"/>
  <c r="L38" i="38" s="1"/>
  <c r="L37" i="38" s="1"/>
  <c r="L36" i="38" s="1"/>
  <c r="L35" i="38" s="1"/>
  <c r="L34" i="38" s="1"/>
  <c r="L33" i="38" s="1"/>
  <c r="L32" i="38" s="1"/>
  <c r="L31" i="38" s="1"/>
  <c r="L30" i="38" s="1"/>
  <c r="L29" i="38" s="1"/>
  <c r="L28" i="38" s="1"/>
  <c r="L27" i="38" s="1"/>
  <c r="L26" i="38" s="1"/>
  <c r="L25" i="38" s="1"/>
  <c r="L24" i="38" s="1"/>
  <c r="L23" i="38" s="1"/>
  <c r="L22" i="38" s="1"/>
  <c r="L21" i="38" s="1"/>
  <c r="L20" i="38" s="1"/>
  <c r="L19" i="38" s="1"/>
  <c r="L18" i="38" s="1"/>
  <c r="L17" i="38" s="1"/>
  <c r="L16" i="38" s="1"/>
  <c r="K38" i="38"/>
  <c r="K37" i="38" s="1"/>
  <c r="K36" i="38" s="1"/>
  <c r="K35" i="38" s="1"/>
  <c r="K34" i="38" s="1"/>
  <c r="K33" i="38" s="1"/>
  <c r="K32" i="38" s="1"/>
  <c r="K31" i="38" s="1"/>
  <c r="K30" i="38" s="1"/>
  <c r="K29" i="38" s="1"/>
  <c r="K28" i="38" s="1"/>
  <c r="K27" i="38" s="1"/>
  <c r="K26" i="38" s="1"/>
  <c r="K25" i="38" s="1"/>
  <c r="K24" i="38" s="1"/>
  <c r="K23" i="38" s="1"/>
  <c r="K22" i="38" s="1"/>
  <c r="K21" i="38" s="1"/>
  <c r="K20" i="38" s="1"/>
  <c r="K19" i="38" s="1"/>
  <c r="K18" i="38" s="1"/>
  <c r="K17" i="38" s="1"/>
  <c r="K16" i="38" s="1"/>
  <c r="K15" i="38" s="1"/>
  <c r="K14" i="38" s="1"/>
  <c r="K13" i="38" s="1"/>
  <c r="I23" i="34"/>
  <c r="J23" i="34" s="1"/>
  <c r="I31" i="34"/>
  <c r="J31" i="34" s="1"/>
  <c r="I29" i="34"/>
  <c r="J29" i="34" s="1"/>
  <c r="I24" i="34"/>
  <c r="J24" i="34" s="1"/>
  <c r="I27" i="34"/>
  <c r="J27" i="34" s="1"/>
  <c r="I33" i="34"/>
  <c r="J33" i="34" s="1"/>
  <c r="I35" i="34"/>
  <c r="J35" i="34" s="1"/>
  <c r="I37" i="34"/>
  <c r="J37" i="34" s="1"/>
  <c r="I39" i="34"/>
  <c r="J39" i="34" s="1"/>
  <c r="I41" i="34"/>
  <c r="J41" i="34" s="1"/>
  <c r="I12" i="34"/>
  <c r="J12" i="34" s="1"/>
  <c r="I20" i="34"/>
  <c r="J20" i="34" s="1"/>
  <c r="I14" i="34"/>
  <c r="J14" i="34" s="1"/>
  <c r="I28" i="34"/>
  <c r="J28" i="34" s="1"/>
  <c r="I32" i="34"/>
  <c r="J32" i="34" s="1"/>
  <c r="I34" i="34"/>
  <c r="J34" i="34" s="1"/>
  <c r="I36" i="34"/>
  <c r="J36" i="34" s="1"/>
  <c r="I38" i="34"/>
  <c r="J38" i="34" s="1"/>
  <c r="I40" i="34"/>
  <c r="J40" i="34" s="1"/>
  <c r="I7" i="34"/>
  <c r="B33" i="34"/>
  <c r="B34" i="34" s="1"/>
  <c r="B35" i="34" s="1"/>
  <c r="B36" i="34" s="1"/>
  <c r="B37" i="34" s="1"/>
  <c r="B38" i="34" s="1"/>
  <c r="B39" i="34" s="1"/>
  <c r="B40" i="34" s="1"/>
  <c r="B41" i="34" s="1"/>
  <c r="V8" i="34"/>
  <c r="U9" i="34" s="1"/>
  <c r="Y8" i="34"/>
  <c r="Z7" i="34" s="1"/>
  <c r="AA7" i="34" s="1"/>
  <c r="X8" i="34"/>
  <c r="W9" i="34" s="1"/>
  <c r="I9" i="34"/>
  <c r="J9" i="34" s="1"/>
  <c r="I11" i="34"/>
  <c r="J11" i="34" s="1"/>
  <c r="I13" i="34"/>
  <c r="J13" i="34" s="1"/>
  <c r="I15" i="34"/>
  <c r="J15" i="34" s="1"/>
  <c r="I17" i="34"/>
  <c r="J17" i="34" s="1"/>
  <c r="I19" i="34"/>
  <c r="J19" i="34" s="1"/>
  <c r="I21" i="34"/>
  <c r="J21" i="34" s="1"/>
  <c r="I25" i="34"/>
  <c r="J25" i="34" s="1"/>
  <c r="X8" i="40" l="1"/>
  <c r="X11" i="40" s="1"/>
  <c r="N6" i="40"/>
  <c r="X14" i="40"/>
  <c r="K8" i="34"/>
  <c r="J7" i="34"/>
  <c r="L7" i="34" s="1"/>
  <c r="X13" i="40"/>
  <c r="X16" i="40" s="1"/>
  <c r="Y25" i="38"/>
  <c r="Y26" i="38"/>
  <c r="J37" i="38"/>
  <c r="J36" i="38" s="1"/>
  <c r="J35" i="38" s="1"/>
  <c r="J34" i="38" s="1"/>
  <c r="J33" i="38" s="1"/>
  <c r="J32" i="38" s="1"/>
  <c r="J31" i="38" s="1"/>
  <c r="J30" i="38" s="1"/>
  <c r="J29" i="38" s="1"/>
  <c r="J28" i="38" s="1"/>
  <c r="J27" i="38" s="1"/>
  <c r="J26" i="38" s="1"/>
  <c r="J25" i="38" s="1"/>
  <c r="J24" i="38" s="1"/>
  <c r="J23" i="38" s="1"/>
  <c r="J22" i="38" s="1"/>
  <c r="J21" i="38" s="1"/>
  <c r="J20" i="38" s="1"/>
  <c r="J19" i="38" s="1"/>
  <c r="J18" i="38" s="1"/>
  <c r="J17" i="38" s="1"/>
  <c r="J16" i="38" s="1"/>
  <c r="J15" i="38" s="1"/>
  <c r="J14" i="38" s="1"/>
  <c r="J13" i="38" s="1"/>
  <c r="J12" i="38" s="1"/>
  <c r="J11" i="38" s="1"/>
  <c r="K12" i="38"/>
  <c r="K11" i="38" s="1"/>
  <c r="L15" i="38"/>
  <c r="L14" i="38" s="1"/>
  <c r="L13" i="38" s="1"/>
  <c r="L12" i="38" s="1"/>
  <c r="L11" i="38" s="1"/>
  <c r="L10" i="38" s="1"/>
  <c r="L9" i="38" s="1"/>
  <c r="L8" i="38" s="1"/>
  <c r="V9" i="34"/>
  <c r="U10" i="34" s="1"/>
  <c r="Y9" i="34"/>
  <c r="Z8" i="34" s="1"/>
  <c r="AA8" i="34" s="1"/>
  <c r="X9" i="34"/>
  <c r="W10" i="34" s="1"/>
  <c r="L8" i="34" l="1"/>
  <c r="K9" i="34"/>
  <c r="J10" i="38"/>
  <c r="J9" i="38" s="1"/>
  <c r="J8" i="38" s="1"/>
  <c r="K10" i="38"/>
  <c r="K9" i="38" s="1"/>
  <c r="K8" i="38" s="1"/>
  <c r="Y16" i="38"/>
  <c r="X10" i="34"/>
  <c r="W11" i="34" s="1"/>
  <c r="V10" i="34"/>
  <c r="U11" i="34" s="1"/>
  <c r="Y10" i="34"/>
  <c r="K10" i="34" l="1"/>
  <c r="L9" i="34"/>
  <c r="Y14" i="38"/>
  <c r="Y20" i="38"/>
  <c r="Y10" i="38"/>
  <c r="Y11" i="38" s="1"/>
  <c r="Y19" i="38"/>
  <c r="V11" i="34"/>
  <c r="U12" i="34" s="1"/>
  <c r="Y11" i="34"/>
  <c r="X11" i="34"/>
  <c r="W12" i="34" s="1"/>
  <c r="Z9" i="34"/>
  <c r="AA9" i="34" s="1"/>
  <c r="Y21" i="38" l="1"/>
  <c r="Y23" i="38" s="1"/>
  <c r="Y28" i="38" s="1"/>
  <c r="K11" i="34"/>
  <c r="L10" i="34"/>
  <c r="X12" i="34"/>
  <c r="W13" i="34" s="1"/>
  <c r="V12" i="34"/>
  <c r="U13" i="34" s="1"/>
  <c r="Y12" i="34"/>
  <c r="Z10" i="34"/>
  <c r="AA10" i="34" s="1"/>
  <c r="K12" i="34" l="1"/>
  <c r="L11" i="34"/>
  <c r="X13" i="34"/>
  <c r="W14" i="34" s="1"/>
  <c r="V13" i="34"/>
  <c r="U14" i="34" s="1"/>
  <c r="Y13" i="34"/>
  <c r="Z12" i="34"/>
  <c r="AA12" i="34" s="1"/>
  <c r="Z11" i="34"/>
  <c r="AA11" i="34" s="1"/>
  <c r="K13" i="34" l="1"/>
  <c r="L12" i="34"/>
  <c r="X14" i="34"/>
  <c r="W15" i="34" s="1"/>
  <c r="V14" i="34"/>
  <c r="U15" i="34" s="1"/>
  <c r="Y14" i="34"/>
  <c r="Z13" i="34" s="1"/>
  <c r="AA13" i="34" s="1"/>
  <c r="K14" i="34" l="1"/>
  <c r="L13" i="34"/>
  <c r="V15" i="34"/>
  <c r="U16" i="34" s="1"/>
  <c r="Y15" i="34"/>
  <c r="Z14" i="34" s="1"/>
  <c r="AA14" i="34" s="1"/>
  <c r="X15" i="34"/>
  <c r="W16" i="34" s="1"/>
  <c r="K15" i="34" l="1"/>
  <c r="L14" i="34"/>
  <c r="V16" i="34"/>
  <c r="U17" i="34" s="1"/>
  <c r="Y16" i="34"/>
  <c r="Z15" i="34" s="1"/>
  <c r="AA15" i="34" s="1"/>
  <c r="X16" i="34"/>
  <c r="W17" i="34" s="1"/>
  <c r="K16" i="34" l="1"/>
  <c r="L15" i="34"/>
  <c r="V17" i="34"/>
  <c r="U18" i="34" s="1"/>
  <c r="Y17" i="34"/>
  <c r="X17" i="34"/>
  <c r="W18" i="34" s="1"/>
  <c r="K17" i="34" l="1"/>
  <c r="L16" i="34"/>
  <c r="X18" i="34"/>
  <c r="W19" i="34" s="1"/>
  <c r="Z16" i="34"/>
  <c r="AA16" i="34" s="1"/>
  <c r="V18" i="34"/>
  <c r="U19" i="34" s="1"/>
  <c r="Y18" i="34"/>
  <c r="K18" i="34" l="1"/>
  <c r="L17" i="34"/>
  <c r="V19" i="34"/>
  <c r="U20" i="34" s="1"/>
  <c r="Y19" i="34"/>
  <c r="X19" i="34"/>
  <c r="W20" i="34" s="1"/>
  <c r="Z17" i="34"/>
  <c r="AA17" i="34" s="1"/>
  <c r="K19" i="34" l="1"/>
  <c r="L18" i="34"/>
  <c r="X20" i="34"/>
  <c r="W21" i="34" s="1"/>
  <c r="V20" i="34"/>
  <c r="U21" i="34" s="1"/>
  <c r="Y20" i="34"/>
  <c r="Z18" i="34"/>
  <c r="AA18" i="34" s="1"/>
  <c r="K20" i="34" l="1"/>
  <c r="L19" i="34"/>
  <c r="X21" i="34"/>
  <c r="W22" i="34" s="1"/>
  <c r="V21" i="34"/>
  <c r="U22" i="34" s="1"/>
  <c r="Y21" i="34"/>
  <c r="Z20" i="34" s="1"/>
  <c r="AA20" i="34" s="1"/>
  <c r="Z19" i="34"/>
  <c r="AA19" i="34" s="1"/>
  <c r="K21" i="34" l="1"/>
  <c r="L20" i="34"/>
  <c r="V22" i="34"/>
  <c r="U23" i="34" s="1"/>
  <c r="Y22" i="34"/>
  <c r="Z21" i="34" s="1"/>
  <c r="AA21" i="34" s="1"/>
  <c r="X22" i="34"/>
  <c r="W23" i="34" s="1"/>
  <c r="K22" i="34" l="1"/>
  <c r="L21" i="34"/>
  <c r="V23" i="34"/>
  <c r="U24" i="34" s="1"/>
  <c r="Y23" i="34"/>
  <c r="Z22" i="34" s="1"/>
  <c r="AA22" i="34" s="1"/>
  <c r="X23" i="34"/>
  <c r="W24" i="34"/>
  <c r="K23" i="34" l="1"/>
  <c r="L22" i="34"/>
  <c r="X24" i="34"/>
  <c r="W25" i="34" s="1"/>
  <c r="V24" i="34"/>
  <c r="U25" i="34" s="1"/>
  <c r="Y24" i="34"/>
  <c r="Z23" i="34" s="1"/>
  <c r="AA23" i="34" s="1"/>
  <c r="K24" i="34" l="1"/>
  <c r="L23" i="34"/>
  <c r="X25" i="34"/>
  <c r="W26" i="34" s="1"/>
  <c r="V25" i="34"/>
  <c r="U26" i="34" s="1"/>
  <c r="Y25" i="34"/>
  <c r="Z24" i="34" s="1"/>
  <c r="AA24" i="34" s="1"/>
  <c r="K25" i="34" l="1"/>
  <c r="L24" i="34"/>
  <c r="V26" i="34"/>
  <c r="U27" i="34" s="1"/>
  <c r="Y26" i="34"/>
  <c r="Z25" i="34" s="1"/>
  <c r="AA25" i="34" s="1"/>
  <c r="X26" i="34"/>
  <c r="W27" i="34" s="1"/>
  <c r="K26" i="34" l="1"/>
  <c r="L25" i="34"/>
  <c r="X27" i="34"/>
  <c r="W28" i="34" s="1"/>
  <c r="V27" i="34"/>
  <c r="U28" i="34" s="1"/>
  <c r="Y27" i="34"/>
  <c r="Z26" i="34" s="1"/>
  <c r="AA26" i="34" s="1"/>
  <c r="K27" i="34" l="1"/>
  <c r="L26" i="34"/>
  <c r="V28" i="34"/>
  <c r="U29" i="34" s="1"/>
  <c r="Y28" i="34"/>
  <c r="Z27" i="34" s="1"/>
  <c r="AA27" i="34" s="1"/>
  <c r="X28" i="34"/>
  <c r="W29" i="34" s="1"/>
  <c r="K28" i="34" l="1"/>
  <c r="L27" i="34"/>
  <c r="X29" i="34"/>
  <c r="W30" i="34" s="1"/>
  <c r="V29" i="34"/>
  <c r="U30" i="34" s="1"/>
  <c r="Y29" i="34"/>
  <c r="K29" i="34" l="1"/>
  <c r="L28" i="34"/>
  <c r="X30" i="34"/>
  <c r="W31" i="34" s="1"/>
  <c r="V30" i="34"/>
  <c r="U31" i="34" s="1"/>
  <c r="Y30" i="34"/>
  <c r="Z28" i="34"/>
  <c r="AA28" i="34" s="1"/>
  <c r="K30" i="34" l="1"/>
  <c r="L29" i="34"/>
  <c r="X31" i="34"/>
  <c r="W32" i="34" s="1"/>
  <c r="V31" i="34"/>
  <c r="U32" i="34" s="1"/>
  <c r="Y31" i="34"/>
  <c r="Z29" i="34"/>
  <c r="AA29" i="34" s="1"/>
  <c r="K31" i="34" l="1"/>
  <c r="L30" i="34"/>
  <c r="X32" i="34"/>
  <c r="W33" i="34" s="1"/>
  <c r="Y32" i="34"/>
  <c r="V32" i="34"/>
  <c r="U33" i="34" s="1"/>
  <c r="Z30" i="34"/>
  <c r="AA30" i="34" s="1"/>
  <c r="K32" i="34" l="1"/>
  <c r="L31" i="34"/>
  <c r="Y33" i="34"/>
  <c r="Z32" i="34" s="1"/>
  <c r="AA32" i="34" s="1"/>
  <c r="V33" i="34"/>
  <c r="U34" i="34" s="1"/>
  <c r="Z31" i="34"/>
  <c r="AA31" i="34" s="1"/>
  <c r="X33" i="34"/>
  <c r="W34" i="34" s="1"/>
  <c r="K33" i="34" l="1"/>
  <c r="L32" i="34"/>
  <c r="X34" i="34"/>
  <c r="W35" i="34" s="1"/>
  <c r="Y34" i="34"/>
  <c r="V34" i="34"/>
  <c r="U35" i="34" s="1"/>
  <c r="K34" i="34" l="1"/>
  <c r="L33" i="34"/>
  <c r="Y35" i="34"/>
  <c r="Z34" i="34" s="1"/>
  <c r="AA34" i="34" s="1"/>
  <c r="V35" i="34"/>
  <c r="U36" i="34" s="1"/>
  <c r="X35" i="34"/>
  <c r="W36" i="34" s="1"/>
  <c r="Z33" i="34"/>
  <c r="AA33" i="34" s="1"/>
  <c r="K35" i="34" l="1"/>
  <c r="L34" i="34"/>
  <c r="Y36" i="34"/>
  <c r="Z35" i="34" s="1"/>
  <c r="AA35" i="34" s="1"/>
  <c r="V36" i="34"/>
  <c r="U37" i="34" s="1"/>
  <c r="X36" i="34"/>
  <c r="W37" i="34" s="1"/>
  <c r="K36" i="34" l="1"/>
  <c r="L35" i="34"/>
  <c r="X37" i="34"/>
  <c r="W38" i="34" s="1"/>
  <c r="Y37" i="34"/>
  <c r="Z36" i="34" s="1"/>
  <c r="AA36" i="34" s="1"/>
  <c r="V37" i="34"/>
  <c r="U38" i="34" s="1"/>
  <c r="K37" i="34" l="1"/>
  <c r="L36" i="34"/>
  <c r="Y38" i="34"/>
  <c r="Z37" i="34" s="1"/>
  <c r="AA37" i="34" s="1"/>
  <c r="V38" i="34"/>
  <c r="U39" i="34" s="1"/>
  <c r="X38" i="34"/>
  <c r="W39" i="34"/>
  <c r="K38" i="34" l="1"/>
  <c r="L37" i="34"/>
  <c r="Y39" i="34"/>
  <c r="Z38" i="34" s="1"/>
  <c r="AA38" i="34" s="1"/>
  <c r="V39" i="34"/>
  <c r="U40" i="34" s="1"/>
  <c r="X39" i="34"/>
  <c r="W40" i="34" s="1"/>
  <c r="K39" i="34" l="1"/>
  <c r="L38" i="34"/>
  <c r="Y40" i="34"/>
  <c r="Z39" i="34" s="1"/>
  <c r="AA39" i="34" s="1"/>
  <c r="V40" i="34"/>
  <c r="U41" i="34" s="1"/>
  <c r="X40" i="34"/>
  <c r="W41" i="34" s="1"/>
  <c r="K40" i="34" l="1"/>
  <c r="L39" i="34"/>
  <c r="X41" i="34"/>
  <c r="W42" i="34" s="1"/>
  <c r="X42" i="34" s="1"/>
  <c r="Y41" i="34"/>
  <c r="V41" i="34"/>
  <c r="U42" i="34" s="1"/>
  <c r="K41" i="34" l="1"/>
  <c r="L41" i="34" s="1"/>
  <c r="L40" i="34"/>
  <c r="Y42" i="34"/>
  <c r="Z41" i="34" s="1"/>
  <c r="AA41" i="34" s="1"/>
  <c r="V42" i="34"/>
  <c r="Z40" i="34"/>
  <c r="AA40" i="34" s="1"/>
  <c r="L5" i="34" l="1"/>
  <c r="O6" i="34" s="1"/>
  <c r="O8" i="34" s="1"/>
  <c r="C2" i="37" s="1"/>
  <c r="AA5" i="34"/>
  <c r="AD6" i="34" s="1"/>
  <c r="AD8" i="34" s="1"/>
  <c r="B23" i="31" l="1"/>
  <c r="B24" i="31"/>
  <c r="C24" i="31" s="1"/>
  <c r="B25" i="31"/>
  <c r="B26" i="31"/>
  <c r="C26" i="31" s="1"/>
  <c r="B27" i="31"/>
  <c r="C27" i="31" s="1"/>
  <c r="B28" i="31"/>
  <c r="C28" i="31" s="1"/>
  <c r="B22" i="31"/>
  <c r="B19" i="31"/>
  <c r="C19" i="31" s="1"/>
  <c r="B20" i="31"/>
  <c r="C20" i="31" s="1"/>
  <c r="B18" i="31"/>
  <c r="C18" i="31" s="1"/>
  <c r="B10" i="31"/>
  <c r="C10" i="31" s="1"/>
  <c r="B11" i="31"/>
  <c r="B12" i="31"/>
  <c r="C12" i="31" s="1"/>
  <c r="B13" i="31"/>
  <c r="B14" i="31"/>
  <c r="B15" i="31"/>
  <c r="C15" i="31" s="1"/>
  <c r="B16" i="31"/>
  <c r="B21" i="31" s="1"/>
  <c r="B9" i="31"/>
  <c r="E10" i="31" s="1"/>
  <c r="C23" i="31"/>
  <c r="C11" i="31"/>
  <c r="B17" i="31" l="1"/>
  <c r="C17" i="31" s="1"/>
  <c r="F18" i="31" s="1"/>
  <c r="G18" i="31"/>
  <c r="G28" i="31"/>
  <c r="F28" i="31"/>
  <c r="G11" i="31"/>
  <c r="I11" i="31" s="1"/>
  <c r="F11" i="31"/>
  <c r="G15" i="31"/>
  <c r="G19" i="31"/>
  <c r="F19" i="31"/>
  <c r="G26" i="31"/>
  <c r="G10" i="31"/>
  <c r="I10" i="31" s="1"/>
  <c r="G23" i="31"/>
  <c r="G24" i="31"/>
  <c r="F24" i="31"/>
  <c r="G12" i="31"/>
  <c r="I12" i="31" s="1"/>
  <c r="F12" i="31"/>
  <c r="G20" i="31"/>
  <c r="F20" i="31"/>
  <c r="G27" i="31"/>
  <c r="F27" i="31"/>
  <c r="E15" i="31"/>
  <c r="C13" i="31"/>
  <c r="F13" i="31" s="1"/>
  <c r="C16" i="31"/>
  <c r="E20" i="31"/>
  <c r="E11" i="31"/>
  <c r="E14" i="31"/>
  <c r="E12" i="31"/>
  <c r="C14" i="31"/>
  <c r="C9" i="31"/>
  <c r="F10" i="31" s="1"/>
  <c r="E16" i="31"/>
  <c r="E28" i="31"/>
  <c r="E24" i="31"/>
  <c r="E27" i="31"/>
  <c r="E13" i="31"/>
  <c r="E23" i="31"/>
  <c r="E25" i="31"/>
  <c r="E26" i="31"/>
  <c r="C25" i="31"/>
  <c r="C22" i="31"/>
  <c r="G22" i="31" s="1"/>
  <c r="E19" i="31"/>
  <c r="D2" i="32"/>
  <c r="G16" i="31" l="1"/>
  <c r="F16" i="31"/>
  <c r="G25" i="31"/>
  <c r="F25" i="31"/>
  <c r="G9" i="31"/>
  <c r="I9" i="31" s="1"/>
  <c r="F9" i="31"/>
  <c r="G13" i="31"/>
  <c r="I5" i="31" s="1"/>
  <c r="D8" i="32" s="1"/>
  <c r="G14" i="31"/>
  <c r="F14" i="31"/>
  <c r="F23" i="31"/>
  <c r="F26" i="31"/>
  <c r="F15" i="31"/>
  <c r="F17" i="31"/>
  <c r="D1" i="32"/>
  <c r="E9" i="31"/>
  <c r="G17" i="31"/>
  <c r="E18" i="31"/>
  <c r="E17" i="31"/>
  <c r="C21" i="31"/>
  <c r="E22" i="31"/>
  <c r="E21" i="31"/>
  <c r="J13" i="31" l="1"/>
  <c r="I13" i="31"/>
  <c r="J15" i="31" s="1"/>
  <c r="G21" i="31"/>
  <c r="F21" i="31"/>
  <c r="F22" i="31"/>
  <c r="F23" i="19"/>
  <c r="D24" i="21" s="1"/>
  <c r="P23" i="18"/>
  <c r="P24" i="18"/>
  <c r="P25" i="18"/>
  <c r="P26" i="18"/>
  <c r="P27" i="18"/>
  <c r="P28" i="18"/>
  <c r="P29" i="18"/>
  <c r="P30" i="18"/>
  <c r="P31" i="18"/>
  <c r="P32" i="18"/>
  <c r="P33" i="18"/>
  <c r="P34" i="18"/>
  <c r="P35" i="18"/>
  <c r="P36" i="18"/>
  <c r="P37" i="18"/>
  <c r="P38" i="18"/>
  <c r="P39" i="18"/>
  <c r="P40" i="18"/>
  <c r="P22" i="18"/>
  <c r="J6" i="28" l="1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T40" i="18" l="1"/>
  <c r="T39" i="18"/>
  <c r="T38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C21" i="18"/>
  <c r="C22" i="18" s="1"/>
  <c r="C23" i="18" s="1"/>
  <c r="E4" i="19" l="1"/>
  <c r="F5" i="28" s="1"/>
  <c r="G6" i="28" s="1"/>
  <c r="E8" i="19"/>
  <c r="F9" i="28" s="1"/>
  <c r="E12" i="19"/>
  <c r="F13" i="28" s="1"/>
  <c r="E16" i="19"/>
  <c r="F17" i="28" s="1"/>
  <c r="E20" i="19"/>
  <c r="F21" i="28" s="1"/>
  <c r="E5" i="19"/>
  <c r="F6" i="28" s="1"/>
  <c r="E9" i="19"/>
  <c r="F10" i="28" s="1"/>
  <c r="E13" i="19"/>
  <c r="F14" i="28" s="1"/>
  <c r="E17" i="19"/>
  <c r="F18" i="28" s="1"/>
  <c r="E21" i="19"/>
  <c r="F22" i="28" s="1"/>
  <c r="E6" i="19"/>
  <c r="F7" i="28" s="1"/>
  <c r="E10" i="19"/>
  <c r="F11" i="28" s="1"/>
  <c r="E14" i="19"/>
  <c r="F15" i="28" s="1"/>
  <c r="E18" i="19"/>
  <c r="F19" i="28" s="1"/>
  <c r="E22" i="19"/>
  <c r="F23" i="28" s="1"/>
  <c r="E7" i="19"/>
  <c r="F8" i="28" s="1"/>
  <c r="E11" i="19"/>
  <c r="F12" i="28" s="1"/>
  <c r="E15" i="19"/>
  <c r="F16" i="28" s="1"/>
  <c r="E19" i="19"/>
  <c r="F20" i="28" s="1"/>
  <c r="E23" i="19"/>
  <c r="Q21" i="18"/>
  <c r="E21" i="18"/>
  <c r="E23" i="18"/>
  <c r="F23" i="18" s="1"/>
  <c r="O23" i="18" s="1"/>
  <c r="C24" i="18"/>
  <c r="Q24" i="18" s="1"/>
  <c r="E22" i="18"/>
  <c r="Q22" i="18"/>
  <c r="Q23" i="18"/>
  <c r="F24" i="28" l="1"/>
  <c r="N21" i="18"/>
  <c r="G7" i="28"/>
  <c r="G8" i="28" s="1"/>
  <c r="G9" i="28" s="1"/>
  <c r="G10" i="28" s="1"/>
  <c r="G11" i="28" s="1"/>
  <c r="G12" i="28" s="1"/>
  <c r="G13" i="28" s="1"/>
  <c r="G14" i="28" s="1"/>
  <c r="G15" i="28" s="1"/>
  <c r="G16" i="28" s="1"/>
  <c r="G17" i="28" s="1"/>
  <c r="G18" i="28" s="1"/>
  <c r="G19" i="28" s="1"/>
  <c r="G20" i="28" s="1"/>
  <c r="G21" i="28" s="1"/>
  <c r="G22" i="28" s="1"/>
  <c r="G23" i="28" s="1"/>
  <c r="G24" i="28" s="1"/>
  <c r="F22" i="18"/>
  <c r="O22" i="18" s="1"/>
  <c r="F21" i="18"/>
  <c r="O21" i="18" s="1"/>
  <c r="N23" i="18"/>
  <c r="R23" i="18" s="1"/>
  <c r="N22" i="18"/>
  <c r="C25" i="18"/>
  <c r="E24" i="18"/>
  <c r="F24" i="18" s="1"/>
  <c r="O24" i="18" s="1"/>
  <c r="R21" i="18" l="1"/>
  <c r="G21" i="18"/>
  <c r="H21" i="18" s="1"/>
  <c r="I21" i="18"/>
  <c r="J21" i="18" s="1"/>
  <c r="R22" i="18"/>
  <c r="N24" i="18"/>
  <c r="R24" i="18" s="1"/>
  <c r="C26" i="18"/>
  <c r="E25" i="18"/>
  <c r="F25" i="18" s="1"/>
  <c r="O25" i="18" s="1"/>
  <c r="Q25" i="18"/>
  <c r="S21" i="18" l="1"/>
  <c r="K21" i="18"/>
  <c r="U21" i="18" s="1"/>
  <c r="N25" i="18"/>
  <c r="R25" i="18" s="1"/>
  <c r="E26" i="18"/>
  <c r="F26" i="18" s="1"/>
  <c r="O26" i="18" s="1"/>
  <c r="C27" i="18"/>
  <c r="Q26" i="18"/>
  <c r="N26" i="18" l="1"/>
  <c r="R26" i="18" s="1"/>
  <c r="D22" i="18"/>
  <c r="E27" i="18"/>
  <c r="F27" i="18" s="1"/>
  <c r="O27" i="18" s="1"/>
  <c r="C28" i="18"/>
  <c r="Q27" i="18"/>
  <c r="G22" i="18" l="1"/>
  <c r="H22" i="18" s="1"/>
  <c r="I22" i="18" s="1"/>
  <c r="W21" i="18"/>
  <c r="D4" i="19" s="1"/>
  <c r="C29" i="18"/>
  <c r="E28" i="18"/>
  <c r="F28" i="18" s="1"/>
  <c r="O28" i="18" s="1"/>
  <c r="Q28" i="18"/>
  <c r="N27" i="18"/>
  <c r="R27" i="18" s="1"/>
  <c r="B5" i="21" l="1"/>
  <c r="N28" i="18"/>
  <c r="R28" i="18" s="1"/>
  <c r="J22" i="18"/>
  <c r="S22" i="18" s="1"/>
  <c r="C30" i="18"/>
  <c r="E29" i="18"/>
  <c r="F29" i="18" s="1"/>
  <c r="O29" i="18" s="1"/>
  <c r="Q29" i="18"/>
  <c r="D5" i="28" l="1"/>
  <c r="H5" i="28" s="1"/>
  <c r="K5" i="28" s="1"/>
  <c r="E30" i="18"/>
  <c r="F30" i="18" s="1"/>
  <c r="O30" i="18" s="1"/>
  <c r="C31" i="18"/>
  <c r="Q30" i="18"/>
  <c r="N29" i="18"/>
  <c r="R29" i="18" s="1"/>
  <c r="K22" i="18"/>
  <c r="U22" i="18" s="1"/>
  <c r="W22" i="18" s="1"/>
  <c r="D5" i="19" s="1"/>
  <c r="E31" i="18" l="1"/>
  <c r="F31" i="18" s="1"/>
  <c r="O31" i="18" s="1"/>
  <c r="C32" i="18"/>
  <c r="Q31" i="18"/>
  <c r="D23" i="18"/>
  <c r="G23" i="18" s="1"/>
  <c r="H23" i="18" s="1"/>
  <c r="N30" i="18"/>
  <c r="R30" i="18" s="1"/>
  <c r="I23" i="18" l="1"/>
  <c r="B6" i="21"/>
  <c r="N31" i="18"/>
  <c r="R31" i="18" s="1"/>
  <c r="C33" i="18"/>
  <c r="E32" i="18"/>
  <c r="F32" i="18" s="1"/>
  <c r="O32" i="18" s="1"/>
  <c r="Q32" i="18"/>
  <c r="J23" i="18" l="1"/>
  <c r="S23" i="18" s="1"/>
  <c r="C34" i="18"/>
  <c r="E33" i="18"/>
  <c r="F33" i="18" s="1"/>
  <c r="O33" i="18" s="1"/>
  <c r="Q33" i="18"/>
  <c r="N32" i="18"/>
  <c r="R32" i="18" s="1"/>
  <c r="D6" i="28" l="1"/>
  <c r="H6" i="28" s="1"/>
  <c r="K6" i="28" s="1"/>
  <c r="N33" i="18"/>
  <c r="R33" i="18" s="1"/>
  <c r="K23" i="18"/>
  <c r="U23" i="18" s="1"/>
  <c r="E34" i="18"/>
  <c r="F34" i="18" s="1"/>
  <c r="O34" i="18" s="1"/>
  <c r="C35" i="18"/>
  <c r="Q34" i="18"/>
  <c r="N34" i="18" l="1"/>
  <c r="R34" i="18" s="1"/>
  <c r="E35" i="18"/>
  <c r="F35" i="18" s="1"/>
  <c r="O35" i="18" s="1"/>
  <c r="C36" i="18"/>
  <c r="Q35" i="18"/>
  <c r="D24" i="18"/>
  <c r="G24" i="18" s="1"/>
  <c r="H24" i="18" s="1"/>
  <c r="I24" i="18" l="1"/>
  <c r="W23" i="18"/>
  <c r="D6" i="19" s="1"/>
  <c r="C37" i="18"/>
  <c r="E36" i="18"/>
  <c r="F36" i="18" s="1"/>
  <c r="O36" i="18" s="1"/>
  <c r="Q36" i="18"/>
  <c r="N35" i="18"/>
  <c r="R35" i="18" s="1"/>
  <c r="B7" i="21" l="1"/>
  <c r="J24" i="18"/>
  <c r="S24" i="18" s="1"/>
  <c r="C38" i="18"/>
  <c r="E37" i="18"/>
  <c r="F37" i="18" s="1"/>
  <c r="O37" i="18" s="1"/>
  <c r="Q37" i="18"/>
  <c r="N36" i="18"/>
  <c r="R36" i="18" s="1"/>
  <c r="D7" i="28" l="1"/>
  <c r="H7" i="28" s="1"/>
  <c r="K7" i="28" s="1"/>
  <c r="N37" i="18"/>
  <c r="R37" i="18" s="1"/>
  <c r="C39" i="18"/>
  <c r="E38" i="18"/>
  <c r="F38" i="18" s="1"/>
  <c r="O38" i="18" s="1"/>
  <c r="Q38" i="18"/>
  <c r="K24" i="18"/>
  <c r="U24" i="18" s="1"/>
  <c r="N38" i="18" l="1"/>
  <c r="R38" i="18" s="1"/>
  <c r="E39" i="18"/>
  <c r="F39" i="18" s="1"/>
  <c r="O39" i="18" s="1"/>
  <c r="C40" i="18"/>
  <c r="Q39" i="18"/>
  <c r="D25" i="18"/>
  <c r="G25" i="18" s="1"/>
  <c r="H25" i="18" s="1"/>
  <c r="I25" i="18" l="1"/>
  <c r="N39" i="18"/>
  <c r="R39" i="18" s="1"/>
  <c r="W24" i="18"/>
  <c r="D7" i="19" s="1"/>
  <c r="E40" i="18"/>
  <c r="F40" i="18" s="1"/>
  <c r="O40" i="18" s="1"/>
  <c r="Q40" i="18"/>
  <c r="B8" i="21" l="1"/>
  <c r="N40" i="18"/>
  <c r="R40" i="18" s="1"/>
  <c r="J25" i="18"/>
  <c r="S25" i="18" s="1"/>
  <c r="D8" i="28" l="1"/>
  <c r="H8" i="28" s="1"/>
  <c r="K8" i="28" s="1"/>
  <c r="K25" i="18"/>
  <c r="U25" i="18" s="1"/>
  <c r="D26" i="18" l="1"/>
  <c r="G26" i="18" s="1"/>
  <c r="H26" i="18" s="1"/>
  <c r="I26" i="18" l="1"/>
  <c r="W25" i="18"/>
  <c r="D8" i="19" s="1"/>
  <c r="B9" i="21" l="1"/>
  <c r="J26" i="18"/>
  <c r="S26" i="18" s="1"/>
  <c r="D9" i="28" l="1"/>
  <c r="H9" i="28" s="1"/>
  <c r="K9" i="28" s="1"/>
  <c r="K26" i="18"/>
  <c r="D27" i="18" l="1"/>
  <c r="G27" i="18" s="1"/>
  <c r="H27" i="18" s="1"/>
  <c r="U26" i="18"/>
  <c r="I27" i="18" l="1"/>
  <c r="J27" i="18" s="1"/>
  <c r="S27" i="18" s="1"/>
  <c r="W26" i="18"/>
  <c r="D9" i="19" s="1"/>
  <c r="B10" i="21" l="1"/>
  <c r="K27" i="18"/>
  <c r="U27" i="18" s="1"/>
  <c r="D10" i="28" l="1"/>
  <c r="H10" i="28" s="1"/>
  <c r="K10" i="28" s="1"/>
  <c r="D28" i="18"/>
  <c r="G28" i="18" s="1"/>
  <c r="H28" i="18" s="1"/>
  <c r="W27" i="18"/>
  <c r="D10" i="19" s="1"/>
  <c r="I28" i="18" l="1"/>
  <c r="J28" i="18" s="1"/>
  <c r="S28" i="18" s="1"/>
  <c r="B11" i="21"/>
  <c r="D11" i="28" l="1"/>
  <c r="H11" i="28" s="1"/>
  <c r="K11" i="28" s="1"/>
  <c r="K28" i="18"/>
  <c r="U28" i="18" s="1"/>
  <c r="D29" i="18" l="1"/>
  <c r="G29" i="18" s="1"/>
  <c r="H29" i="18" s="1"/>
  <c r="I29" i="18" l="1"/>
  <c r="W28" i="18"/>
  <c r="D11" i="19" s="1"/>
  <c r="B12" i="21" l="1"/>
  <c r="J29" i="18"/>
  <c r="S29" i="18" s="1"/>
  <c r="D12" i="28" l="1"/>
  <c r="H12" i="28" s="1"/>
  <c r="K12" i="28" s="1"/>
  <c r="K29" i="18"/>
  <c r="U29" i="18" s="1"/>
  <c r="D30" i="18" l="1"/>
  <c r="G30" i="18" s="1"/>
  <c r="H30" i="18" s="1"/>
  <c r="I30" i="18" l="1"/>
  <c r="W29" i="18"/>
  <c r="D12" i="19" s="1"/>
  <c r="B13" i="21" l="1"/>
  <c r="J30" i="18"/>
  <c r="S30" i="18" s="1"/>
  <c r="D13" i="28" l="1"/>
  <c r="H13" i="28" s="1"/>
  <c r="K13" i="28" s="1"/>
  <c r="K30" i="18"/>
  <c r="D31" i="18" l="1"/>
  <c r="G31" i="18" s="1"/>
  <c r="H31" i="18" s="1"/>
  <c r="U30" i="18"/>
  <c r="I31" i="18" l="1"/>
  <c r="J31" i="18" s="1"/>
  <c r="S31" i="18" s="1"/>
  <c r="W30" i="18"/>
  <c r="D13" i="19" s="1"/>
  <c r="B14" i="21" l="1"/>
  <c r="K31" i="18"/>
  <c r="U31" i="18" s="1"/>
  <c r="D14" i="28" l="1"/>
  <c r="H14" i="28" s="1"/>
  <c r="K14" i="28" s="1"/>
  <c r="W31" i="18"/>
  <c r="D14" i="19" s="1"/>
  <c r="D32" i="18"/>
  <c r="G32" i="18" s="1"/>
  <c r="H32" i="18" s="1"/>
  <c r="I32" i="18" l="1"/>
  <c r="J32" i="18" s="1"/>
  <c r="S32" i="18" s="1"/>
  <c r="B15" i="21"/>
  <c r="D15" i="28" l="1"/>
  <c r="H15" i="28" s="1"/>
  <c r="K15" i="28" s="1"/>
  <c r="K32" i="18"/>
  <c r="U32" i="18" s="1"/>
  <c r="D33" i="18" l="1"/>
  <c r="G33" i="18" s="1"/>
  <c r="H33" i="18" s="1"/>
  <c r="I33" i="18" l="1"/>
  <c r="W32" i="18"/>
  <c r="D15" i="19" s="1"/>
  <c r="B16" i="21" l="1"/>
  <c r="J33" i="18"/>
  <c r="S33" i="18" s="1"/>
  <c r="D16" i="28" l="1"/>
  <c r="H16" i="28" s="1"/>
  <c r="K16" i="28" s="1"/>
  <c r="K33" i="18"/>
  <c r="U33" i="18" s="1"/>
  <c r="D34" i="18" l="1"/>
  <c r="G34" i="18" s="1"/>
  <c r="H34" i="18" s="1"/>
  <c r="I34" i="18" l="1"/>
  <c r="W33" i="18"/>
  <c r="D16" i="19" s="1"/>
  <c r="B17" i="21" l="1"/>
  <c r="J34" i="18"/>
  <c r="S34" i="18" s="1"/>
  <c r="D17" i="28" l="1"/>
  <c r="H17" i="28" s="1"/>
  <c r="K17" i="28" s="1"/>
  <c r="K34" i="18"/>
  <c r="U34" i="18" s="1"/>
  <c r="D35" i="18" l="1"/>
  <c r="G35" i="18" s="1"/>
  <c r="H35" i="18" s="1"/>
  <c r="I35" i="18" l="1"/>
  <c r="W34" i="18"/>
  <c r="D17" i="19" s="1"/>
  <c r="B18" i="21" l="1"/>
  <c r="J35" i="18"/>
  <c r="S35" i="18" s="1"/>
  <c r="D18" i="28" l="1"/>
  <c r="H18" i="28" s="1"/>
  <c r="K18" i="28" s="1"/>
  <c r="K35" i="18"/>
  <c r="D36" i="18" l="1"/>
  <c r="G36" i="18" s="1"/>
  <c r="H36" i="18" s="1"/>
  <c r="U35" i="18"/>
  <c r="W35" i="18" s="1"/>
  <c r="D18" i="19" s="1"/>
  <c r="I36" i="18" l="1"/>
  <c r="J36" i="18" s="1"/>
  <c r="S36" i="18" s="1"/>
  <c r="B19" i="21"/>
  <c r="D19" i="28" l="1"/>
  <c r="H19" i="28" s="1"/>
  <c r="K19" i="28" s="1"/>
  <c r="K36" i="18"/>
  <c r="U36" i="18" s="1"/>
  <c r="D37" i="18" l="1"/>
  <c r="G37" i="18" s="1"/>
  <c r="H37" i="18" s="1"/>
  <c r="I37" i="18" l="1"/>
  <c r="W36" i="18"/>
  <c r="D19" i="19" s="1"/>
  <c r="B20" i="21" l="1"/>
  <c r="J37" i="18"/>
  <c r="S37" i="18" s="1"/>
  <c r="D20" i="28" l="1"/>
  <c r="H20" i="28" s="1"/>
  <c r="K20" i="28" s="1"/>
  <c r="K37" i="18"/>
  <c r="U37" i="18" s="1"/>
  <c r="D38" i="18" l="1"/>
  <c r="G38" i="18" s="1"/>
  <c r="H38" i="18" s="1"/>
  <c r="I38" i="18" l="1"/>
  <c r="W37" i="18"/>
  <c r="D20" i="19" s="1"/>
  <c r="B21" i="21" l="1"/>
  <c r="J38" i="18"/>
  <c r="S38" i="18" s="1"/>
  <c r="D21" i="28" l="1"/>
  <c r="H21" i="28" s="1"/>
  <c r="K21" i="28" s="1"/>
  <c r="K38" i="18"/>
  <c r="U38" i="18" s="1"/>
  <c r="D39" i="18" l="1"/>
  <c r="G39" i="18" s="1"/>
  <c r="H39" i="18" s="1"/>
  <c r="I39" i="18" l="1"/>
  <c r="W38" i="18"/>
  <c r="D21" i="19" s="1"/>
  <c r="B22" i="21" l="1"/>
  <c r="J39" i="18"/>
  <c r="S39" i="18" s="1"/>
  <c r="D22" i="28" l="1"/>
  <c r="H22" i="28" s="1"/>
  <c r="K22" i="28" s="1"/>
  <c r="K39" i="18"/>
  <c r="U39" i="18" s="1"/>
  <c r="D40" i="18" l="1"/>
  <c r="G40" i="18" s="1"/>
  <c r="H40" i="18" s="1"/>
  <c r="I40" i="18" l="1"/>
  <c r="W39" i="18"/>
  <c r="D22" i="19" s="1"/>
  <c r="B23" i="21" l="1"/>
  <c r="J40" i="18"/>
  <c r="S40" i="18" s="1"/>
  <c r="D23" i="28" l="1"/>
  <c r="H23" i="28" s="1"/>
  <c r="K23" i="28" s="1"/>
  <c r="K40" i="18"/>
  <c r="U40" i="18" s="1"/>
  <c r="W40" i="18" l="1"/>
  <c r="D23" i="19" s="1"/>
  <c r="B24" i="21" l="1"/>
  <c r="F22" i="19"/>
  <c r="D24" i="28"/>
  <c r="H24" i="28" s="1"/>
  <c r="K24" i="28" s="1"/>
  <c r="K3" i="28" s="1"/>
  <c r="H4" i="21" s="1"/>
  <c r="F21" i="19" l="1"/>
  <c r="D22" i="21" s="1"/>
  <c r="D23" i="21"/>
  <c r="G23" i="19"/>
  <c r="E24" i="28" s="1"/>
  <c r="G22" i="19" l="1"/>
  <c r="E23" i="28" s="1"/>
  <c r="F20" i="19"/>
  <c r="D21" i="21" s="1"/>
  <c r="I24" i="28"/>
  <c r="L24" i="28" s="1"/>
  <c r="E24" i="21"/>
  <c r="E23" i="21" l="1"/>
  <c r="I23" i="28"/>
  <c r="L23" i="28" s="1"/>
  <c r="G21" i="19"/>
  <c r="E22" i="28" s="1"/>
  <c r="F19" i="19"/>
  <c r="D20" i="21" s="1"/>
  <c r="E22" i="21" l="1"/>
  <c r="I22" i="28"/>
  <c r="L22" i="28" s="1"/>
  <c r="G20" i="19"/>
  <c r="E21" i="28" s="1"/>
  <c r="F18" i="19"/>
  <c r="D19" i="21" s="1"/>
  <c r="E21" i="21" l="1"/>
  <c r="I21" i="28"/>
  <c r="L21" i="28" s="1"/>
  <c r="F17" i="19"/>
  <c r="D18" i="21" s="1"/>
  <c r="G19" i="19"/>
  <c r="E20" i="28" s="1"/>
  <c r="E20" i="21" l="1"/>
  <c r="I20" i="28"/>
  <c r="L20" i="28" s="1"/>
  <c r="G18" i="19"/>
  <c r="E19" i="28" s="1"/>
  <c r="F16" i="19"/>
  <c r="D17" i="21" s="1"/>
  <c r="E19" i="21" l="1"/>
  <c r="I19" i="28"/>
  <c r="L19" i="28" s="1"/>
  <c r="G17" i="19"/>
  <c r="E18" i="28" s="1"/>
  <c r="F15" i="19"/>
  <c r="D16" i="21" s="1"/>
  <c r="E18" i="21" l="1"/>
  <c r="I18" i="28"/>
  <c r="L18" i="28" s="1"/>
  <c r="F14" i="19"/>
  <c r="D15" i="21" s="1"/>
  <c r="G16" i="19"/>
  <c r="E17" i="28" s="1"/>
  <c r="E17" i="21" l="1"/>
  <c r="I17" i="28"/>
  <c r="L17" i="28" s="1"/>
  <c r="G15" i="19"/>
  <c r="E16" i="28" s="1"/>
  <c r="F13" i="19"/>
  <c r="D14" i="21" s="1"/>
  <c r="E16" i="21" l="1"/>
  <c r="I16" i="28"/>
  <c r="L16" i="28" s="1"/>
  <c r="G14" i="19"/>
  <c r="E15" i="28" s="1"/>
  <c r="F12" i="19"/>
  <c r="D13" i="21" s="1"/>
  <c r="E15" i="21" l="1"/>
  <c r="I15" i="28"/>
  <c r="L15" i="28" s="1"/>
  <c r="G13" i="19"/>
  <c r="E14" i="28" s="1"/>
  <c r="F11" i="19"/>
  <c r="F10" i="19" s="1"/>
  <c r="F9" i="19" s="1"/>
  <c r="G10" i="19" s="1"/>
  <c r="E11" i="28" s="1"/>
  <c r="E14" i="21" l="1"/>
  <c r="I14" i="28"/>
  <c r="L14" i="28" s="1"/>
  <c r="D12" i="21"/>
  <c r="G12" i="19"/>
  <c r="E13" i="28" s="1"/>
  <c r="D11" i="21"/>
  <c r="G11" i="19"/>
  <c r="E12" i="28" s="1"/>
  <c r="E12" i="21" l="1"/>
  <c r="I12" i="28"/>
  <c r="L12" i="28" s="1"/>
  <c r="E13" i="21"/>
  <c r="I13" i="28"/>
  <c r="L13" i="28" s="1"/>
  <c r="D10" i="21"/>
  <c r="F8" i="19"/>
  <c r="D9" i="21" s="1"/>
  <c r="E11" i="21"/>
  <c r="F7" i="19" l="1"/>
  <c r="D8" i="21" s="1"/>
  <c r="G9" i="19"/>
  <c r="E10" i="28" s="1"/>
  <c r="I11" i="28"/>
  <c r="L11" i="28" s="1"/>
  <c r="E10" i="21" l="1"/>
  <c r="I10" i="28"/>
  <c r="L10" i="28" s="1"/>
  <c r="F6" i="19"/>
  <c r="D7" i="21" s="1"/>
  <c r="G8" i="19"/>
  <c r="E9" i="28" s="1"/>
  <c r="E9" i="21" l="1"/>
  <c r="I9" i="28"/>
  <c r="L9" i="28" s="1"/>
  <c r="F5" i="19"/>
  <c r="D6" i="21" s="1"/>
  <c r="G7" i="19"/>
  <c r="E8" i="28" s="1"/>
  <c r="E8" i="21" l="1"/>
  <c r="I8" i="28"/>
  <c r="L8" i="28" s="1"/>
  <c r="F4" i="19"/>
  <c r="G6" i="19"/>
  <c r="E7" i="28" s="1"/>
  <c r="E7" i="21" l="1"/>
  <c r="I7" i="28"/>
  <c r="L7" i="28" s="1"/>
  <c r="G5" i="19"/>
  <c r="E6" i="28" s="1"/>
  <c r="G4" i="19"/>
  <c r="E5" i="28" s="1"/>
  <c r="D5" i="21"/>
  <c r="I6" i="28" l="1"/>
  <c r="L6" i="28" s="1"/>
  <c r="E6" i="21"/>
  <c r="I5" i="28"/>
  <c r="L5" i="28" s="1"/>
  <c r="E5" i="21"/>
  <c r="L3" i="28" l="1"/>
  <c r="H5" i="21" s="1"/>
</calcChain>
</file>

<file path=xl/sharedStrings.xml><?xml version="1.0" encoding="utf-8"?>
<sst xmlns="http://schemas.openxmlformats.org/spreadsheetml/2006/main" count="383" uniqueCount="238">
  <si>
    <t>Discount factor</t>
  </si>
  <si>
    <t>marks</t>
  </si>
  <si>
    <t>Total</t>
  </si>
  <si>
    <t>(i)</t>
  </si>
  <si>
    <t>(ii)</t>
  </si>
  <si>
    <t>(iii)</t>
  </si>
  <si>
    <t>i</t>
  </si>
  <si>
    <t>[1]</t>
  </si>
  <si>
    <t>[2]</t>
  </si>
  <si>
    <t>Mortality</t>
  </si>
  <si>
    <t>Age</t>
  </si>
  <si>
    <t>p.a. effective</t>
  </si>
  <si>
    <t>v</t>
  </si>
  <si>
    <t>Age x</t>
  </si>
  <si>
    <t>d</t>
  </si>
  <si>
    <t>Table 1</t>
  </si>
  <si>
    <r>
      <t>q</t>
    </r>
    <r>
      <rPr>
        <b/>
        <vertAlign val="subscript"/>
        <sz val="11"/>
        <color theme="1"/>
        <rFont val="Calibri"/>
        <family val="2"/>
        <scheme val="minor"/>
      </rPr>
      <t>[x]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</si>
  <si>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[x-1]+1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</si>
  <si>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x</t>
    </r>
  </si>
  <si>
    <t>Initial expenses</t>
  </si>
  <si>
    <t>Renewal expenses</t>
  </si>
  <si>
    <t>Inputs</t>
  </si>
  <si>
    <t>Premium</t>
  </si>
  <si>
    <t>Initial expense</t>
  </si>
  <si>
    <t>Renewal expense</t>
  </si>
  <si>
    <t>Bid offer spread</t>
  </si>
  <si>
    <t>Annual Management Charge</t>
  </si>
  <si>
    <t>UNIT FUND</t>
  </si>
  <si>
    <t>NON UNIT FUND</t>
  </si>
  <si>
    <t>Term</t>
  </si>
  <si>
    <t>Gross Premium</t>
  </si>
  <si>
    <t>Unit Fund at start of year</t>
  </si>
  <si>
    <t>Allocated premium</t>
  </si>
  <si>
    <t>Bid-offer spread</t>
  </si>
  <si>
    <t>Interest</t>
  </si>
  <si>
    <t>Unit Fund before management charge</t>
  </si>
  <si>
    <t>Annual management charge</t>
  </si>
  <si>
    <t>Unit Fund at end of year</t>
  </si>
  <si>
    <t>Unallocated premium</t>
  </si>
  <si>
    <t>Expenses</t>
  </si>
  <si>
    <t>Commission</t>
  </si>
  <si>
    <t>Mortality rates</t>
  </si>
  <si>
    <t>Survival rates</t>
  </si>
  <si>
    <t>Extra death cost</t>
  </si>
  <si>
    <t>End of year Cashflow</t>
  </si>
  <si>
    <t>Age at start of the year</t>
  </si>
  <si>
    <t>Revised cashflow</t>
  </si>
  <si>
    <t>Qn 3(iii)</t>
  </si>
  <si>
    <t>Qn 3 (i)</t>
  </si>
  <si>
    <t>Policy Conditions</t>
  </si>
  <si>
    <t>Initial annual Premium</t>
  </si>
  <si>
    <t>pa</t>
  </si>
  <si>
    <t xml:space="preserve">increasing by </t>
  </si>
  <si>
    <t>2 to 7 inclusive</t>
  </si>
  <si>
    <t>8 +</t>
  </si>
  <si>
    <t>Bid Offer Spread</t>
  </si>
  <si>
    <t>Annual management fee</t>
  </si>
  <si>
    <t>of the bid value of units is deducted at the end of each policy year.</t>
  </si>
  <si>
    <t>Pricing Basis</t>
  </si>
  <si>
    <t>Year t</t>
  </si>
  <si>
    <t>escalating at</t>
  </si>
  <si>
    <t>Allocation rate in policy year 1</t>
  </si>
  <si>
    <t>Alloc rate policy years 2 to 7 incl</t>
  </si>
  <si>
    <t>Policy Year</t>
  </si>
  <si>
    <t>years</t>
  </si>
  <si>
    <t>Maturity cost</t>
  </si>
  <si>
    <t>Non-unit Fund Interest</t>
  </si>
  <si>
    <t>(a)</t>
  </si>
  <si>
    <t>(b)</t>
  </si>
  <si>
    <t>[4]</t>
  </si>
  <si>
    <t>Probability in force</t>
  </si>
  <si>
    <t>risk discount rate</t>
  </si>
  <si>
    <t>EoY cashflow (before zeroisation)</t>
  </si>
  <si>
    <t>Profit signature (before zeroisation)</t>
  </si>
  <si>
    <t>Profit signature (after zeroisation)</t>
  </si>
  <si>
    <t>NPV profit  (before zeroisation)</t>
  </si>
  <si>
    <t>NPV profit (after zeroisation)</t>
  </si>
  <si>
    <t>EoY cashflow( after zeroisation )</t>
  </si>
  <si>
    <t>Qn 3(iv)</t>
  </si>
  <si>
    <t>Profit vector</t>
  </si>
  <si>
    <t>Qn 3 (ii) (b)</t>
  </si>
  <si>
    <t>Reserve</t>
  </si>
  <si>
    <t>Revised profit vector</t>
  </si>
  <si>
    <t>Qn3(iii)</t>
  </si>
  <si>
    <t>EPV profit before zeroisation</t>
  </si>
  <si>
    <t>EPV after zeroisation</t>
  </si>
  <si>
    <t>Qn 4(i)</t>
  </si>
  <si>
    <t>Policy term</t>
  </si>
  <si>
    <t>The bid value of the unit fund (after the deduction of the management charge)</t>
  </si>
  <si>
    <t>[3]</t>
  </si>
  <si>
    <t>Allocation rate (Percentage of policy year premium allocated to buy units)</t>
  </si>
  <si>
    <t>per annum effective</t>
  </si>
  <si>
    <t>of each premium</t>
  </si>
  <si>
    <t xml:space="preserve">Death benefit: </t>
  </si>
  <si>
    <t>Maturity benefit:</t>
  </si>
  <si>
    <t>Valuation Interest rate</t>
  </si>
  <si>
    <t>Reserve at end of the year</t>
  </si>
  <si>
    <t xml:space="preserve">Rate of growth on assets in the Unit Fund </t>
  </si>
  <si>
    <t>Rate of interest on non-unit fund cashflows</t>
  </si>
  <si>
    <t>Unit fund growth rates per annum</t>
  </si>
  <si>
    <t>Select mortality given in Table 2</t>
  </si>
  <si>
    <t>Table 2</t>
  </si>
  <si>
    <t>Risk Discount Rate</t>
  </si>
  <si>
    <t>Year-end bid value of the unit fund (after the deduction of the management charge) multiplied by 2. Payable at the end of the year of death.</t>
  </si>
  <si>
    <t>pa payable annually in advance</t>
  </si>
  <si>
    <r>
      <t>f</t>
    </r>
    <r>
      <rPr>
        <b/>
        <vertAlign val="subscript"/>
        <sz val="11"/>
        <color theme="1"/>
        <rFont val="Calibri"/>
        <family val="2"/>
        <scheme val="minor"/>
      </rPr>
      <t>5.4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</si>
  <si>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8,5</t>
    </r>
  </si>
  <si>
    <t>n                    (term of bond in years)</t>
  </si>
  <si>
    <t>Missing price</t>
  </si>
  <si>
    <r>
      <t>f</t>
    </r>
    <r>
      <rPr>
        <vertAlign val="subscript"/>
        <sz val="11"/>
        <color theme="1"/>
        <rFont val="Calibri"/>
        <family val="2"/>
        <scheme val="minor"/>
      </rPr>
      <t>5.4</t>
    </r>
  </si>
  <si>
    <r>
      <t>F</t>
    </r>
    <r>
      <rPr>
        <vertAlign val="subscript"/>
        <sz val="11"/>
        <color theme="1"/>
        <rFont val="Calibri"/>
        <family val="2"/>
        <scheme val="minor"/>
      </rPr>
      <t>8,5</t>
    </r>
  </si>
  <si>
    <t>(i) and (ii)</t>
  </si>
  <si>
    <t>(iv)</t>
  </si>
  <si>
    <t>Par yield</t>
  </si>
  <si>
    <t>[5]</t>
  </si>
  <si>
    <t>n</t>
  </si>
  <si>
    <t>Pn</t>
  </si>
  <si>
    <t>n-year discrete spot rates</t>
  </si>
  <si>
    <t>Time t</t>
  </si>
  <si>
    <r>
      <t>one year forward rates f</t>
    </r>
    <r>
      <rPr>
        <b/>
        <vertAlign val="subscript"/>
        <sz val="11"/>
        <color theme="1"/>
        <rFont val="Calibri"/>
        <family val="2"/>
        <scheme val="minor"/>
      </rPr>
      <t>t,1</t>
    </r>
  </si>
  <si>
    <t>Discount factor for period n years</t>
  </si>
  <si>
    <t>The curve is upward sloping for the short and medium term and begins to slope downwards after 10 years</t>
  </si>
  <si>
    <t xml:space="preserve">This implies that long term bonds are more expensive than short term bonds </t>
  </si>
  <si>
    <t>This also reflects a higher demand for long term than short to medium term bonds</t>
  </si>
  <si>
    <t>This could be due to the main investors in the marketing having liabilities of longer durations thus pushing demand for longer term bonds</t>
  </si>
  <si>
    <t>The upward slope can be due to expectations of interest rate hikes and high inflation in the medium term leading to lower demand of short term bonds</t>
  </si>
  <si>
    <t>Price for n = 9</t>
  </si>
  <si>
    <t>Price for n = 13</t>
  </si>
  <si>
    <t>See separate sheet.</t>
  </si>
  <si>
    <t>5 year par yield</t>
  </si>
  <si>
    <t xml:space="preserve">Term Assurance Mortality </t>
  </si>
  <si>
    <t>Annuity Mortality</t>
  </si>
  <si>
    <t>Interest Rate</t>
  </si>
  <si>
    <r>
      <t>single life</t>
    </r>
    <r>
      <rPr>
        <b/>
        <i/>
        <sz val="11"/>
        <color theme="1"/>
        <rFont val="Calibri"/>
        <family val="2"/>
        <scheme val="minor"/>
      </rPr>
      <t xml:space="preserve"> q</t>
    </r>
    <r>
      <rPr>
        <b/>
        <i/>
        <vertAlign val="subscript"/>
        <sz val="11"/>
        <color theme="1"/>
        <rFont val="Calibri"/>
        <family val="2"/>
        <scheme val="minor"/>
      </rPr>
      <t>x</t>
    </r>
  </si>
  <si>
    <t>in deferment</t>
  </si>
  <si>
    <t>Male</t>
  </si>
  <si>
    <t>Female</t>
  </si>
  <si>
    <t>in payment</t>
  </si>
  <si>
    <t>Joint Life Term Assurance sum assured</t>
  </si>
  <si>
    <t>JL annual annuity amount payable</t>
  </si>
  <si>
    <t>p.a. payable while both lives are alive</t>
  </si>
  <si>
    <t>Reversionary annuity</t>
  </si>
  <si>
    <t>Proportion of annual annuity payable when only one life is alive</t>
  </si>
  <si>
    <t>The mortality of the two lives is assumed to be independent.</t>
  </si>
  <si>
    <t>Alternative</t>
  </si>
  <si>
    <t>Term Assurance</t>
  </si>
  <si>
    <t>t</t>
  </si>
  <si>
    <r>
      <t>v</t>
    </r>
    <r>
      <rPr>
        <i/>
        <vertAlign val="superscript"/>
        <sz val="11"/>
        <color theme="1"/>
        <rFont val="Calibri"/>
        <family val="2"/>
        <scheme val="minor"/>
      </rPr>
      <t>t</t>
    </r>
  </si>
  <si>
    <r>
      <t xml:space="preserve">Male </t>
    </r>
    <r>
      <rPr>
        <b/>
        <i/>
        <sz val="11"/>
        <color theme="1"/>
        <rFont val="Calibri"/>
        <family val="2"/>
        <scheme val="minor"/>
      </rPr>
      <t>x</t>
    </r>
  </si>
  <si>
    <r>
      <t xml:space="preserve">Female </t>
    </r>
    <r>
      <rPr>
        <b/>
        <i/>
        <sz val="11"/>
        <color theme="1"/>
        <rFont val="Calibri"/>
        <family val="2"/>
        <scheme val="minor"/>
      </rPr>
      <t>y</t>
    </r>
  </si>
  <si>
    <r>
      <t>q</t>
    </r>
    <r>
      <rPr>
        <b/>
        <i/>
        <vertAlign val="subscript"/>
        <sz val="11"/>
        <color theme="1"/>
        <rFont val="Calibri"/>
        <family val="2"/>
        <scheme val="minor"/>
      </rPr>
      <t>x</t>
    </r>
  </si>
  <si>
    <r>
      <t>q</t>
    </r>
    <r>
      <rPr>
        <b/>
        <i/>
        <vertAlign val="subscript"/>
        <sz val="11"/>
        <color theme="1"/>
        <rFont val="Calibri"/>
        <family val="2"/>
        <scheme val="minor"/>
      </rPr>
      <t>y</t>
    </r>
  </si>
  <si>
    <r>
      <t>p</t>
    </r>
    <r>
      <rPr>
        <b/>
        <i/>
        <vertAlign val="subscript"/>
        <sz val="11"/>
        <color theme="1"/>
        <rFont val="Calibri"/>
        <family val="2"/>
        <scheme val="minor"/>
      </rPr>
      <t>x</t>
    </r>
  </si>
  <si>
    <r>
      <t>p</t>
    </r>
    <r>
      <rPr>
        <b/>
        <i/>
        <vertAlign val="subscript"/>
        <sz val="11"/>
        <color theme="1"/>
        <rFont val="Calibri"/>
        <family val="2"/>
        <scheme val="minor"/>
      </rPr>
      <t>y</t>
    </r>
  </si>
  <si>
    <r>
      <t>p</t>
    </r>
    <r>
      <rPr>
        <b/>
        <i/>
        <vertAlign val="subscript"/>
        <sz val="11"/>
        <color theme="1"/>
        <rFont val="Calibri"/>
        <family val="2"/>
        <scheme val="minor"/>
      </rPr>
      <t>xy</t>
    </r>
  </si>
  <si>
    <r>
      <t>q</t>
    </r>
    <r>
      <rPr>
        <b/>
        <i/>
        <vertAlign val="subscript"/>
        <sz val="11"/>
        <color theme="1"/>
        <rFont val="Calibri"/>
        <family val="2"/>
        <scheme val="minor"/>
      </rPr>
      <t>xy</t>
    </r>
  </si>
  <si>
    <r>
      <t>TA</t>
    </r>
    <r>
      <rPr>
        <b/>
        <i/>
        <vertAlign val="subscript"/>
        <sz val="11"/>
        <color theme="1"/>
        <rFont val="Calibri"/>
        <family val="2"/>
        <scheme val="minor"/>
      </rPr>
      <t>xy:&lt;n&gt;</t>
    </r>
  </si>
  <si>
    <r>
      <t>v</t>
    </r>
    <r>
      <rPr>
        <b/>
        <i/>
        <vertAlign val="superscript"/>
        <sz val="11"/>
        <color theme="1"/>
        <rFont val="Calibri"/>
        <family val="2"/>
        <scheme val="minor"/>
      </rPr>
      <t>t</t>
    </r>
  </si>
  <si>
    <r>
      <t>l</t>
    </r>
    <r>
      <rPr>
        <b/>
        <i/>
        <vertAlign val="subscript"/>
        <sz val="11"/>
        <color theme="1"/>
        <rFont val="Calibri"/>
        <family val="2"/>
        <scheme val="minor"/>
      </rPr>
      <t>x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</si>
  <si>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x</t>
    </r>
  </si>
  <si>
    <r>
      <t>l</t>
    </r>
    <r>
      <rPr>
        <b/>
        <i/>
        <vertAlign val="subscript"/>
        <sz val="11"/>
        <color theme="1"/>
        <rFont val="Calibri"/>
        <family val="2"/>
        <scheme val="minor"/>
      </rPr>
      <t>y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</si>
  <si>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y</t>
    </r>
  </si>
  <si>
    <r>
      <t>l</t>
    </r>
    <r>
      <rPr>
        <b/>
        <i/>
        <vertAlign val="subscript"/>
        <sz val="11"/>
        <color theme="1"/>
        <rFont val="Calibri"/>
        <family val="2"/>
        <scheme val="minor"/>
      </rPr>
      <t>xy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</si>
  <si>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xy</t>
    </r>
  </si>
  <si>
    <r>
      <t>A</t>
    </r>
    <r>
      <rPr>
        <b/>
        <i/>
        <vertAlign val="subscript"/>
        <sz val="11"/>
        <color theme="1"/>
        <rFont val="Calibri"/>
        <family val="2"/>
        <scheme val="minor"/>
      </rPr>
      <t>xy:&lt;n&gt;</t>
    </r>
  </si>
  <si>
    <t>SA</t>
  </si>
  <si>
    <t>JL TA factor</t>
  </si>
  <si>
    <t>EV of JL TA</t>
  </si>
  <si>
    <r>
      <rPr>
        <i/>
        <vertAlign val="subscript"/>
        <sz val="11"/>
        <color theme="1"/>
        <rFont val="Calibri"/>
        <family val="2"/>
        <scheme val="minor"/>
      </rPr>
      <t>5</t>
    </r>
    <r>
      <rPr>
        <i/>
        <sz val="11"/>
        <color theme="1"/>
        <rFont val="Calibri"/>
        <family val="2"/>
        <scheme val="minor"/>
      </rPr>
      <t>p</t>
    </r>
    <r>
      <rPr>
        <i/>
        <vertAlign val="subscript"/>
        <sz val="11"/>
        <color theme="1"/>
        <rFont val="Calibri"/>
        <family val="2"/>
        <scheme val="minor"/>
      </rPr>
      <t>65:60</t>
    </r>
  </si>
  <si>
    <r>
      <t>v</t>
    </r>
    <r>
      <rPr>
        <i/>
        <vertAlign val="superscript"/>
        <sz val="11"/>
        <color theme="1"/>
        <rFont val="Calibri"/>
        <family val="2"/>
        <scheme val="minor"/>
      </rPr>
      <t>5</t>
    </r>
  </si>
  <si>
    <r>
      <t>adue</t>
    </r>
    <r>
      <rPr>
        <b/>
        <i/>
        <vertAlign val="subscript"/>
        <sz val="11"/>
        <color theme="1"/>
        <rFont val="Calibri"/>
        <family val="2"/>
        <scheme val="minor"/>
      </rPr>
      <t>70:65</t>
    </r>
  </si>
  <si>
    <r>
      <t xml:space="preserve">adue </t>
    </r>
    <r>
      <rPr>
        <b/>
        <i/>
        <vertAlign val="subscript"/>
        <sz val="11"/>
        <color theme="1"/>
        <rFont val="Calibri"/>
        <family val="2"/>
        <scheme val="minor"/>
      </rPr>
      <t>70(m)</t>
    </r>
  </si>
  <si>
    <r>
      <t xml:space="preserve">adue </t>
    </r>
    <r>
      <rPr>
        <b/>
        <i/>
        <vertAlign val="subscript"/>
        <sz val="11"/>
        <color theme="1"/>
        <rFont val="Calibri"/>
        <family val="2"/>
        <scheme val="minor"/>
      </rPr>
      <t>65(f)</t>
    </r>
  </si>
  <si>
    <r>
      <t>adue</t>
    </r>
    <r>
      <rPr>
        <b/>
        <i/>
        <vertAlign val="subscript"/>
        <sz val="11"/>
        <color theme="1"/>
        <rFont val="Calibri"/>
        <family val="2"/>
        <scheme val="minor"/>
      </rPr>
      <t>&lt;5&gt;</t>
    </r>
  </si>
  <si>
    <t>Annuity JL SA</t>
  </si>
  <si>
    <t>JL adue</t>
  </si>
  <si>
    <t>Rev annuity SA</t>
  </si>
  <si>
    <t>EV of Deferred annuity at outset</t>
  </si>
  <si>
    <t>Then: -</t>
  </si>
  <si>
    <t>The probability that the second life would die in the deferred period would be higher.</t>
  </si>
  <si>
    <t>This means there would be a higher probability that the joint life term assurance would be paid</t>
  </si>
  <si>
    <t>and so the answer to part (i) would be higher.</t>
  </si>
  <si>
    <t>Thus the expected value of the deferred annuity would be lower.</t>
  </si>
  <si>
    <t>Market Segmentation Theory:</t>
  </si>
  <si>
    <t>Expectations Theory:</t>
  </si>
  <si>
    <t>If the second life had been aged 35, then this is older than they actually were.</t>
  </si>
  <si>
    <t>[6]</t>
  </si>
  <si>
    <t>For the annuity payments, the policyholders would be less likely to receive the annuity payment (as mortality in deferment would be higher)</t>
  </si>
  <si>
    <t>pa compound</t>
  </si>
  <si>
    <t>and so fewer annuity payments would be received, as the probability that the joint life status would fail is higher in each year</t>
  </si>
  <si>
    <t>Alloc rate policy years 8+</t>
  </si>
  <si>
    <r>
      <rPr>
        <i/>
        <vertAlign val="subscript"/>
        <sz val="11"/>
        <color theme="1"/>
        <rFont val="Calibri"/>
        <family val="2"/>
        <scheme val="minor"/>
      </rPr>
      <t>5</t>
    </r>
    <r>
      <rPr>
        <i/>
        <sz val="11"/>
        <color theme="1"/>
        <rFont val="Calibri"/>
        <family val="2"/>
        <scheme val="minor"/>
      </rPr>
      <t>p</t>
    </r>
    <r>
      <rPr>
        <i/>
        <vertAlign val="subscript"/>
        <sz val="11"/>
        <color theme="1"/>
        <rFont val="Calibri"/>
        <family val="2"/>
        <scheme val="minor"/>
      </rPr>
      <t>65</t>
    </r>
  </si>
  <si>
    <r>
      <rPr>
        <i/>
        <vertAlign val="subscript"/>
        <sz val="11"/>
        <color theme="1"/>
        <rFont val="Calibri"/>
        <family val="2"/>
        <scheme val="minor"/>
      </rPr>
      <t>5</t>
    </r>
    <r>
      <rPr>
        <i/>
        <sz val="11"/>
        <color theme="1"/>
        <rFont val="Calibri"/>
        <family val="2"/>
        <scheme val="minor"/>
      </rPr>
      <t>p</t>
    </r>
    <r>
      <rPr>
        <i/>
        <vertAlign val="subscript"/>
        <sz val="11"/>
        <color theme="1"/>
        <rFont val="Calibri"/>
        <family val="2"/>
        <scheme val="minor"/>
      </rPr>
      <t>60</t>
    </r>
  </si>
  <si>
    <t>If both lives survive guarantee period</t>
  </si>
  <si>
    <t>Value of guaranteed annuity at male age 65</t>
  </si>
  <si>
    <t>If male life dies during the guaranteed period, SL annuity payable to female life from age 65, value at male age 65</t>
  </si>
  <si>
    <t>If female life dies during the guaranteed period, SL annuity payable to male life from age 70, value at male age 65</t>
  </si>
  <si>
    <t>Reversionary annuity rate (payable to female)</t>
  </si>
  <si>
    <t>Reversionary annuity rate (payable to male)</t>
  </si>
  <si>
    <t>Value at male age 65</t>
  </si>
  <si>
    <t>Total at male age 65</t>
  </si>
  <si>
    <t>Pn                                               (price per 100 nominal of zero coupon bond with term n years)</t>
  </si>
  <si>
    <t>Prob JL annuity paid</t>
  </si>
  <si>
    <t>PV JL annuity</t>
  </si>
  <si>
    <r>
      <rPr>
        <b/>
        <i/>
        <vertAlign val="subscript"/>
        <sz val="11"/>
        <color theme="1"/>
        <rFont val="Calibri"/>
        <family val="2"/>
        <scheme val="minor"/>
      </rPr>
      <t>t</t>
    </r>
    <r>
      <rPr>
        <b/>
        <i/>
        <sz val="11"/>
        <color theme="1"/>
        <rFont val="Calibri"/>
        <family val="2"/>
        <scheme val="minor"/>
      </rPr>
      <t>p</t>
    </r>
    <r>
      <rPr>
        <b/>
        <i/>
        <vertAlign val="subscript"/>
        <sz val="11"/>
        <color theme="1"/>
        <rFont val="Calibri"/>
        <family val="2"/>
        <scheme val="minor"/>
      </rPr>
      <t>x</t>
    </r>
  </si>
  <si>
    <r>
      <rPr>
        <b/>
        <i/>
        <vertAlign val="subscript"/>
        <sz val="11"/>
        <color theme="1"/>
        <rFont val="Calibri"/>
        <family val="2"/>
        <scheme val="minor"/>
      </rPr>
      <t>t</t>
    </r>
    <r>
      <rPr>
        <b/>
        <i/>
        <sz val="11"/>
        <color theme="1"/>
        <rFont val="Calibri"/>
        <family val="2"/>
        <scheme val="minor"/>
      </rPr>
      <t>p</t>
    </r>
    <r>
      <rPr>
        <b/>
        <i/>
        <vertAlign val="subscript"/>
        <sz val="11"/>
        <color theme="1"/>
        <rFont val="Calibri"/>
        <family val="2"/>
        <scheme val="minor"/>
      </rPr>
      <t>y</t>
    </r>
  </si>
  <si>
    <r>
      <rPr>
        <b/>
        <i/>
        <vertAlign val="subscript"/>
        <sz val="11"/>
        <color theme="1"/>
        <rFont val="Calibri"/>
        <family val="2"/>
        <scheme val="minor"/>
      </rPr>
      <t>t</t>
    </r>
    <r>
      <rPr>
        <b/>
        <i/>
        <sz val="11"/>
        <color theme="1"/>
        <rFont val="Calibri"/>
        <family val="2"/>
        <scheme val="minor"/>
      </rPr>
      <t>p</t>
    </r>
    <r>
      <rPr>
        <b/>
        <i/>
        <vertAlign val="subscript"/>
        <sz val="11"/>
        <color theme="1"/>
        <rFont val="Calibri"/>
        <family val="2"/>
        <scheme val="minor"/>
      </rPr>
      <t>xy</t>
    </r>
  </si>
  <si>
    <t>Prob Rev annuity paid to male</t>
  </si>
  <si>
    <t>Prob Rev annuity paid to female</t>
  </si>
  <si>
    <t>Annuity</t>
  </si>
  <si>
    <t>PV Rev annuity</t>
  </si>
  <si>
    <t>Rev annuity</t>
  </si>
  <si>
    <t>PV Coupon</t>
  </si>
  <si>
    <t>PV redemption</t>
  </si>
  <si>
    <t>Total PV</t>
  </si>
  <si>
    <t>GOALSEEK setting I15 =0</t>
  </si>
  <si>
    <t>by changing cell H7</t>
  </si>
  <si>
    <t>According to the expectations theory the relative attraction of short- and longer-term investments will vary according to expectations of future 
movements in interest rates</t>
  </si>
  <si>
    <r>
      <t>Alternative one year forward rates f</t>
    </r>
    <r>
      <rPr>
        <b/>
        <vertAlign val="subscript"/>
        <sz val="11"/>
        <color rgb="FF7030A0"/>
        <rFont val="Calibri"/>
        <family val="2"/>
        <scheme val="minor"/>
      </rPr>
      <t>t,1</t>
    </r>
  </si>
  <si>
    <r>
      <rPr>
        <b/>
        <i/>
        <vertAlign val="subscript"/>
        <sz val="11"/>
        <color theme="1"/>
        <rFont val="Calibri"/>
        <family val="2"/>
        <scheme val="minor"/>
      </rPr>
      <t>t-1</t>
    </r>
    <r>
      <rPr>
        <b/>
        <i/>
        <sz val="11"/>
        <color theme="1"/>
        <rFont val="Calibri"/>
        <family val="2"/>
        <scheme val="minor"/>
      </rPr>
      <t>p</t>
    </r>
    <r>
      <rPr>
        <b/>
        <i/>
        <vertAlign val="subscript"/>
        <sz val="11"/>
        <color theme="1"/>
        <rFont val="Calibri"/>
        <family val="2"/>
        <scheme val="minor"/>
      </rPr>
      <t>xy</t>
    </r>
  </si>
  <si>
    <t>Unit Fund after premium allocation at start of year</t>
  </si>
  <si>
    <t>max 3</t>
  </si>
  <si>
    <t>Zeroising defers the emergence of profits…</t>
  </si>
  <si>
    <t>...and as the non unit growth rate is the same as the risk discount rate…</t>
  </si>
  <si>
    <t>…the PV of profit before zeroisation will be equal to the PV of profit after zeroisation.</t>
  </si>
  <si>
    <t>Increasing the non-unit growth rate will increase the overall profitability of the policy…</t>
  </si>
  <si>
    <t>...so the PV of profit will increase for both before and after zeroisation.</t>
  </si>
  <si>
    <t>PV JL annuity at age 65</t>
  </si>
  <si>
    <t>PV Rev annuity at age 65</t>
  </si>
  <si>
    <t>Gtee annuity</t>
  </si>
  <si>
    <t>PV Rev to male annuity</t>
  </si>
  <si>
    <t>PV Rev to female annuity</t>
  </si>
  <si>
    <t>per annum at the start of the policy year from the second year onwards.</t>
  </si>
  <si>
    <t>See separate sheet</t>
  </si>
  <si>
    <t>Probability of surviving deferment</t>
  </si>
  <si>
    <t>Discounting deferment</t>
  </si>
  <si>
    <t>If the term assurance benefit is paid, then the policy terminates and no further benefits are payable.</t>
  </si>
  <si>
    <t>This is consistent with the market segmentation theory which states that bonds of different terms are attractive to different investors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</si>
</sst>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_-;\-* #,##0_-;_-* &quot;-&quot;??_-;_-@_-"/>
    <numFmt numFmtId="165" formatCode="0.000000"/>
    <numFmt numFmtId="166" formatCode="_-* #,##0.00000_-;\-* #,##0.00000_-;_-* &quot;-&quot;??_-;_-@_-"/>
    <numFmt numFmtId="167" formatCode="_-* #,##0.000000_-;\-* #,##0.000000_-;_-* &quot;-&quot;??_-;_-@_-"/>
    <numFmt numFmtId="168" formatCode="0.0000000"/>
    <numFmt numFmtId="169" formatCode="0.00000"/>
    <numFmt numFmtId="170" formatCode="_-* #,##0.0000000_-;\-* #,##0.0000000_-;_-* &quot;-&quot;??_-;_-@_-"/>
    <numFmt numFmtId="171" formatCode="_-* #,##0.000_-;\-* #,##0.000_-;_-* &quot;-&quot;??_-;_-@_-"/>
    <numFmt numFmtId="172" formatCode="0.00000%"/>
    <numFmt numFmtId="173" formatCode="0.0000%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indexed="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b/>
      <vertAlign val="subscript"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5">
    <xf numFmtId="0" fontId="0" fillId="0" borderId="0" xfId="0"/>
    <xf numFmtId="10" fontId="0" fillId="0" borderId="0" xfId="0" applyNumberFormat="1"/>
    <xf numFmtId="9" fontId="0" fillId="0" borderId="0" xfId="0" applyNumberFormat="1"/>
    <xf numFmtId="2" fontId="0" fillId="0" borderId="0" xfId="0" applyNumberFormat="1"/>
    <xf numFmtId="0" fontId="1" fillId="0" borderId="0" xfId="0" applyFont="1"/>
    <xf numFmtId="0" fontId="2" fillId="0" borderId="0" xfId="0" applyFont="1"/>
    <xf numFmtId="43" fontId="0" fillId="0" borderId="0" xfId="1" applyFont="1"/>
    <xf numFmtId="43" fontId="0" fillId="0" borderId="0" xfId="0" applyNumberForma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right"/>
    </xf>
    <xf numFmtId="164" fontId="0" fillId="0" borderId="0" xfId="1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0" fontId="0" fillId="0" borderId="0" xfId="2" applyNumberFormat="1" applyFont="1"/>
    <xf numFmtId="0" fontId="1" fillId="0" borderId="0" xfId="0" applyFont="1" applyAlignment="1">
      <alignment wrapText="1"/>
    </xf>
    <xf numFmtId="165" fontId="0" fillId="0" borderId="0" xfId="0" applyNumberFormat="1"/>
    <xf numFmtId="43" fontId="1" fillId="0" borderId="0" xfId="1" applyFont="1"/>
    <xf numFmtId="43" fontId="1" fillId="0" borderId="0" xfId="0" applyNumberFormat="1" applyFont="1"/>
    <xf numFmtId="9" fontId="6" fillId="0" borderId="0" xfId="0" applyNumberFormat="1" applyFont="1"/>
    <xf numFmtId="0" fontId="0" fillId="0" borderId="0" xfId="0" applyAlignment="1">
      <alignment horizontal="left"/>
    </xf>
    <xf numFmtId="164" fontId="1" fillId="0" borderId="0" xfId="1" applyNumberFormat="1" applyFont="1"/>
    <xf numFmtId="0" fontId="0" fillId="0" borderId="0" xfId="2" applyNumberFormat="1" applyFont="1"/>
    <xf numFmtId="10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top" wrapText="1"/>
    </xf>
    <xf numFmtId="2" fontId="0" fillId="0" borderId="0" xfId="0" applyNumberFormat="1" applyAlignment="1">
      <alignment horizontal="center"/>
    </xf>
    <xf numFmtId="166" fontId="0" fillId="0" borderId="0" xfId="1" applyNumberFormat="1" applyFont="1"/>
    <xf numFmtId="2" fontId="0" fillId="2" borderId="0" xfId="0" applyNumberFormat="1" applyFill="1" applyAlignment="1">
      <alignment horizontal="center"/>
    </xf>
    <xf numFmtId="164" fontId="3" fillId="0" borderId="0" xfId="1" applyNumberFormat="1"/>
    <xf numFmtId="0" fontId="3" fillId="0" borderId="0" xfId="0" applyFont="1" applyAlignment="1">
      <alignment horizontal="right"/>
    </xf>
    <xf numFmtId="0" fontId="3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12" fillId="0" borderId="0" xfId="0" applyFont="1" applyAlignment="1">
      <alignment horizontal="center"/>
    </xf>
    <xf numFmtId="43" fontId="3" fillId="0" borderId="0" xfId="1"/>
    <xf numFmtId="43" fontId="6" fillId="0" borderId="0" xfId="1" applyFont="1" applyAlignment="1">
      <alignment horizontal="center"/>
    </xf>
    <xf numFmtId="0" fontId="12" fillId="0" borderId="0" xfId="0" applyFont="1" applyAlignment="1">
      <alignment horizontal="left"/>
    </xf>
    <xf numFmtId="43" fontId="12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2" fillId="0" borderId="0" xfId="0" applyFont="1" applyAlignment="1">
      <alignment horizontal="right"/>
    </xf>
    <xf numFmtId="172" fontId="1" fillId="0" borderId="0" xfId="2" applyNumberFormat="1" applyFont="1" applyFill="1"/>
    <xf numFmtId="0" fontId="5" fillId="0" borderId="0" xfId="0" applyFont="1" applyAlignment="1">
      <alignment horizontal="center"/>
    </xf>
    <xf numFmtId="172" fontId="0" fillId="0" borderId="0" xfId="0" applyNumberFormat="1" applyAlignment="1">
      <alignment horizontal="center"/>
    </xf>
    <xf numFmtId="0" fontId="9" fillId="0" borderId="0" xfId="0" applyFont="1" applyAlignment="1">
      <alignment horizontal="center" wrapText="1"/>
    </xf>
    <xf numFmtId="173" fontId="0" fillId="0" borderId="0" xfId="2" applyNumberFormat="1" applyFont="1" applyFill="1"/>
    <xf numFmtId="1" fontId="0" fillId="0" borderId="0" xfId="2" applyNumberFormat="1" applyFont="1" applyFill="1"/>
    <xf numFmtId="173" fontId="0" fillId="0" borderId="0" xfId="0" applyNumberFormat="1"/>
    <xf numFmtId="173" fontId="16" fillId="0" borderId="0" xfId="0" applyNumberFormat="1" applyFont="1"/>
    <xf numFmtId="169" fontId="0" fillId="0" borderId="0" xfId="0" applyNumberFormat="1"/>
    <xf numFmtId="0" fontId="7" fillId="0" borderId="0" xfId="0" applyFont="1" applyAlignment="1">
      <alignment horizontal="right"/>
    </xf>
    <xf numFmtId="170" fontId="0" fillId="0" borderId="0" xfId="0" applyNumberFormat="1"/>
    <xf numFmtId="171" fontId="0" fillId="0" borderId="0" xfId="0" applyNumberFormat="1"/>
    <xf numFmtId="164" fontId="6" fillId="0" borderId="0" xfId="0" applyNumberFormat="1" applyFont="1"/>
    <xf numFmtId="164" fontId="0" fillId="0" borderId="0" xfId="0" applyNumberFormat="1"/>
    <xf numFmtId="168" fontId="0" fillId="0" borderId="0" xfId="0" applyNumberFormat="1"/>
    <xf numFmtId="164" fontId="3" fillId="0" borderId="0" xfId="1" applyNumberFormat="1" applyFill="1"/>
    <xf numFmtId="171" fontId="3" fillId="0" borderId="0" xfId="1" applyNumberFormat="1" applyFill="1"/>
    <xf numFmtId="43" fontId="3" fillId="0" borderId="0" xfId="1" applyFill="1"/>
    <xf numFmtId="167" fontId="0" fillId="0" borderId="0" xfId="0" applyNumberFormat="1"/>
    <xf numFmtId="43" fontId="3" fillId="0" borderId="0" xfId="0" applyNumberFormat="1" applyFont="1"/>
    <xf numFmtId="43" fontId="0" fillId="0" borderId="0" xfId="1" applyFont="1" applyFill="1"/>
    <xf numFmtId="0" fontId="7" fillId="0" borderId="0" xfId="0" applyFont="1" applyAlignment="1">
      <alignment horizontal="center" wrapText="1"/>
    </xf>
    <xf numFmtId="164" fontId="0" fillId="0" borderId="0" xfId="1" applyNumberFormat="1" applyFont="1" applyFill="1"/>
    <xf numFmtId="164" fontId="6" fillId="0" borderId="0" xfId="1" applyNumberFormat="1" applyFont="1" applyFill="1"/>
    <xf numFmtId="10" fontId="6" fillId="0" borderId="0" xfId="0" applyNumberFormat="1" applyFont="1"/>
    <xf numFmtId="0" fontId="6" fillId="0" borderId="0" xfId="0" applyFont="1"/>
    <xf numFmtId="9" fontId="0" fillId="0" borderId="0" xfId="0" applyNumberFormat="1" applyAlignment="1">
      <alignment horizontal="center"/>
    </xf>
    <xf numFmtId="10" fontId="0" fillId="0" borderId="0" xfId="2" applyNumberFormat="1" applyFont="1" applyFill="1"/>
    <xf numFmtId="0" fontId="5" fillId="0" borderId="0" xfId="0" applyFont="1" applyAlignment="1">
      <alignment horizontal="center" wrapText="1"/>
    </xf>
    <xf numFmtId="43" fontId="2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n-year discrete spot rates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20"/>
              <c:pt idx="0">
                <c:v>9.9989000109999004E-2</c:v>
              </c:pt>
              <c:pt idx="1">
                <c:v>0.10049698660952067</c:v>
              </c:pt>
              <c:pt idx="2">
                <c:v>0.10132811395814234</c:v>
              </c:pt>
              <c:pt idx="3">
                <c:v>0.10251602973189833</c:v>
              </c:pt>
              <c:pt idx="4">
                <c:v>0.1039833308637288</c:v>
              </c:pt>
              <c:pt idx="5">
                <c:v>0.10547718318448918</c:v>
              </c:pt>
              <c:pt idx="6">
                <c:v>0.10682941540031821</c:v>
              </c:pt>
              <c:pt idx="7">
                <c:v>0.10810459238401848</c:v>
              </c:pt>
              <c:pt idx="8">
                <c:v>0.10851245569059786</c:v>
              </c:pt>
              <c:pt idx="9">
                <c:v>0.10809072358741356</c:v>
              </c:pt>
              <c:pt idx="10">
                <c:v>0.10643855199876073</c:v>
              </c:pt>
              <c:pt idx="11">
                <c:v>0.10419627908975704</c:v>
              </c:pt>
              <c:pt idx="12">
                <c:v>0.10153900363998436</c:v>
              </c:pt>
              <c:pt idx="13">
                <c:v>9.8503004722467091E-2</c:v>
              </c:pt>
              <c:pt idx="14">
                <c:v>9.5206325279951098E-2</c:v>
              </c:pt>
              <c:pt idx="15">
                <c:v>9.1997066521045889E-2</c:v>
              </c:pt>
              <c:pt idx="16">
                <c:v>8.9083848163775459E-2</c:v>
              </c:pt>
              <c:pt idx="17">
                <c:v>8.6453932658615118E-2</c:v>
              </c:pt>
              <c:pt idx="18">
                <c:v>8.3998671471314568E-2</c:v>
              </c:pt>
              <c:pt idx="19">
                <c:v>8.177921441803826E-2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40D-4681-BF40-8D52362F6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548144"/>
        <c:axId val="601544544"/>
      </c:lineChart>
      <c:catAx>
        <c:axId val="60154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544544"/>
        <c:crosses val="autoZero"/>
        <c:auto val="1"/>
        <c:lblAlgn val="ctr"/>
        <c:lblOffset val="100"/>
        <c:noMultiLvlLbl val="0"/>
      </c:catAx>
      <c:valAx>
        <c:axId val="60154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54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32</xdr:row>
      <xdr:rowOff>57150</xdr:rowOff>
    </xdr:from>
    <xdr:to>
      <xdr:col>5</xdr:col>
      <xdr:colOff>685800</xdr:colOff>
      <xdr:row>41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AB5459-546E-4A44-B50A-B63D8F3FBB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E62C9-7527-4232-86D7-49F9A62ADF04}">
  <dimension ref="A1:Q32"/>
  <sheetViews>
    <sheetView tabSelected="1" workbookViewId="0">
      <selection activeCell="A2" sqref="A2"/>
    </sheetView>
  </sheetViews>
  <sheetFormatPr defaultRowHeight="15" x14ac:dyDescent="0.25"/>
  <cols>
    <col min="1" max="1" width="13.28515625" customWidth="1"/>
    <col min="2" max="2" width="25.42578125" customWidth="1"/>
    <col min="3" max="3" width="13.42578125" customWidth="1"/>
    <col min="15" max="15" width="10.42578125" customWidth="1"/>
    <col min="16" max="16" width="9.85546875" customWidth="1"/>
  </cols>
  <sheetData>
    <row r="1" spans="1:17" ht="18" x14ac:dyDescent="0.35">
      <c r="A1" s="10" t="s">
        <v>105</v>
      </c>
      <c r="B1" s="1">
        <v>0.1142</v>
      </c>
      <c r="C1" t="s">
        <v>51</v>
      </c>
    </row>
    <row r="2" spans="1:17" ht="18" x14ac:dyDescent="0.35">
      <c r="A2" s="10" t="s">
        <v>106</v>
      </c>
      <c r="B2" s="1">
        <v>8.72E-2</v>
      </c>
      <c r="C2" t="s">
        <v>51</v>
      </c>
    </row>
    <row r="4" spans="1:17" ht="60" x14ac:dyDescent="0.25">
      <c r="A4" s="27" t="s">
        <v>107</v>
      </c>
      <c r="B4" s="27" t="s">
        <v>201</v>
      </c>
      <c r="C4" s="26"/>
    </row>
    <row r="5" spans="1:17" x14ac:dyDescent="0.25">
      <c r="A5" s="9">
        <v>1</v>
      </c>
      <c r="B5" s="28">
        <v>90.91</v>
      </c>
      <c r="F5" s="16"/>
      <c r="H5" s="2"/>
      <c r="N5" s="2"/>
      <c r="O5" s="29"/>
      <c r="P5" s="15"/>
      <c r="Q5" s="7"/>
    </row>
    <row r="6" spans="1:17" x14ac:dyDescent="0.25">
      <c r="A6" s="9">
        <v>2</v>
      </c>
      <c r="B6" s="28">
        <v>82.57</v>
      </c>
      <c r="F6" s="16"/>
      <c r="H6" s="1"/>
      <c r="N6" s="1"/>
      <c r="O6" s="29"/>
    </row>
    <row r="7" spans="1:17" x14ac:dyDescent="0.25">
      <c r="A7" s="9">
        <v>3</v>
      </c>
      <c r="B7" s="28">
        <v>74.86</v>
      </c>
      <c r="F7" s="16"/>
      <c r="H7" s="1"/>
      <c r="N7" s="1"/>
      <c r="O7" s="29"/>
    </row>
    <row r="8" spans="1:17" x14ac:dyDescent="0.25">
      <c r="A8" s="9">
        <v>4</v>
      </c>
      <c r="B8" s="28">
        <v>67.680000000000007</v>
      </c>
      <c r="F8" s="16"/>
      <c r="H8" s="1"/>
      <c r="N8" s="1"/>
      <c r="O8" s="29"/>
    </row>
    <row r="9" spans="1:17" x14ac:dyDescent="0.25">
      <c r="A9" s="9">
        <v>5</v>
      </c>
      <c r="B9" s="28">
        <v>60.98</v>
      </c>
      <c r="F9" s="16"/>
      <c r="H9" s="1"/>
      <c r="N9" s="2"/>
      <c r="O9" s="29"/>
    </row>
    <row r="10" spans="1:17" x14ac:dyDescent="0.25">
      <c r="A10" s="9">
        <v>6</v>
      </c>
      <c r="B10" s="28">
        <v>54.79</v>
      </c>
      <c r="F10" s="16"/>
      <c r="H10" s="1"/>
      <c r="L10" s="1"/>
      <c r="N10" s="1"/>
      <c r="O10" s="29"/>
    </row>
    <row r="11" spans="1:17" x14ac:dyDescent="0.25">
      <c r="A11" s="9">
        <v>7</v>
      </c>
      <c r="B11" s="28">
        <v>49.14</v>
      </c>
      <c r="F11" s="16"/>
      <c r="H11" s="1"/>
      <c r="L11" s="1"/>
      <c r="N11" s="1"/>
      <c r="O11" s="29"/>
    </row>
    <row r="12" spans="1:17" x14ac:dyDescent="0.25">
      <c r="A12" s="9">
        <v>8</v>
      </c>
      <c r="B12" s="28">
        <v>43.99</v>
      </c>
      <c r="F12" s="16"/>
      <c r="H12" s="1"/>
      <c r="L12" s="1"/>
      <c r="N12" s="1"/>
      <c r="O12" s="29"/>
    </row>
    <row r="13" spans="1:17" x14ac:dyDescent="0.25">
      <c r="A13" s="9">
        <v>9</v>
      </c>
      <c r="B13" s="30" t="s">
        <v>108</v>
      </c>
      <c r="F13" s="16"/>
      <c r="H13" s="1"/>
      <c r="L13" s="1"/>
      <c r="N13" s="1"/>
      <c r="O13" s="29"/>
    </row>
    <row r="14" spans="1:17" x14ac:dyDescent="0.25">
      <c r="A14" s="9">
        <v>10</v>
      </c>
      <c r="B14" s="28">
        <v>35.83</v>
      </c>
      <c r="F14" s="16"/>
      <c r="H14" s="1"/>
      <c r="L14" s="1"/>
      <c r="N14" s="1"/>
      <c r="O14" s="29"/>
    </row>
    <row r="15" spans="1:17" x14ac:dyDescent="0.25">
      <c r="A15" s="9">
        <v>11</v>
      </c>
      <c r="B15" s="28">
        <v>32.869999999999997</v>
      </c>
      <c r="F15" s="16"/>
      <c r="H15" s="1"/>
      <c r="N15" s="1"/>
      <c r="O15" s="29"/>
    </row>
    <row r="16" spans="1:17" x14ac:dyDescent="0.25">
      <c r="A16" s="9">
        <v>12</v>
      </c>
      <c r="B16" s="28">
        <v>30.44</v>
      </c>
      <c r="F16" s="16"/>
      <c r="H16" s="1"/>
      <c r="N16" s="1"/>
      <c r="O16" s="29"/>
    </row>
    <row r="17" spans="1:15" x14ac:dyDescent="0.25">
      <c r="A17" s="9">
        <v>13</v>
      </c>
      <c r="B17" s="30" t="s">
        <v>108</v>
      </c>
      <c r="F17" s="16"/>
      <c r="H17" s="1"/>
      <c r="N17" s="1"/>
      <c r="O17" s="29"/>
    </row>
    <row r="18" spans="1:15" x14ac:dyDescent="0.25">
      <c r="A18" s="9">
        <v>14</v>
      </c>
      <c r="B18" s="28">
        <v>26.84</v>
      </c>
      <c r="F18" s="16"/>
      <c r="H18" s="1"/>
      <c r="N18" s="1"/>
      <c r="O18" s="29"/>
    </row>
    <row r="19" spans="1:15" x14ac:dyDescent="0.25">
      <c r="A19" s="9">
        <v>15</v>
      </c>
      <c r="B19" s="28">
        <v>25.56</v>
      </c>
      <c r="F19" s="16"/>
      <c r="H19" s="1"/>
      <c r="N19" s="1"/>
      <c r="O19" s="29"/>
    </row>
    <row r="20" spans="1:15" x14ac:dyDescent="0.25">
      <c r="A20" s="9">
        <v>16</v>
      </c>
      <c r="B20" s="28">
        <v>24.46</v>
      </c>
      <c r="F20" s="16"/>
      <c r="H20" s="1"/>
      <c r="N20" s="1"/>
      <c r="O20" s="29"/>
    </row>
    <row r="21" spans="1:15" x14ac:dyDescent="0.25">
      <c r="A21" s="9">
        <v>17</v>
      </c>
      <c r="B21" s="28">
        <v>23.44</v>
      </c>
      <c r="F21" s="16"/>
      <c r="H21" s="1"/>
      <c r="N21" s="1"/>
      <c r="O21" s="29"/>
    </row>
    <row r="22" spans="1:15" x14ac:dyDescent="0.25">
      <c r="A22" s="9">
        <v>18</v>
      </c>
      <c r="B22" s="28">
        <v>22.48</v>
      </c>
      <c r="F22" s="16"/>
      <c r="H22" s="1"/>
      <c r="N22" s="1"/>
      <c r="O22" s="29"/>
    </row>
    <row r="23" spans="1:15" x14ac:dyDescent="0.25">
      <c r="A23" s="9">
        <v>19</v>
      </c>
      <c r="B23" s="28">
        <v>21.6</v>
      </c>
      <c r="F23" s="16"/>
      <c r="H23" s="1"/>
      <c r="N23" s="1"/>
      <c r="O23" s="29"/>
    </row>
    <row r="24" spans="1:15" x14ac:dyDescent="0.25">
      <c r="A24" s="9">
        <v>20</v>
      </c>
      <c r="B24" s="28">
        <v>20.76</v>
      </c>
      <c r="F24" s="16"/>
      <c r="H24" s="1"/>
      <c r="N24" s="1"/>
      <c r="O24" s="29"/>
    </row>
    <row r="25" spans="1:15" x14ac:dyDescent="0.25">
      <c r="F25" s="16"/>
    </row>
    <row r="29" spans="1:15" x14ac:dyDescent="0.25">
      <c r="H29" s="16"/>
    </row>
    <row r="32" spans="1:15" x14ac:dyDescent="0.25">
      <c r="H32" s="1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2836-325A-4EC8-9FC3-C6288E1A0ABE}">
  <dimension ref="A1:H102"/>
  <sheetViews>
    <sheetView topLeftCell="A12" workbookViewId="0">
      <selection activeCell="A12" sqref="A12"/>
    </sheetView>
  </sheetViews>
  <sheetFormatPr defaultRowHeight="15" x14ac:dyDescent="0.25"/>
  <cols>
    <col min="1" max="1" width="26.5703125" customWidth="1"/>
    <col min="2" max="2" width="12.5703125" customWidth="1"/>
    <col min="3" max="3" width="13.140625" customWidth="1"/>
    <col min="5" max="5" width="14.7109375" customWidth="1"/>
    <col min="6" max="6" width="10" customWidth="1"/>
  </cols>
  <sheetData>
    <row r="1" spans="1:3" x14ac:dyDescent="0.25">
      <c r="A1" s="4" t="s">
        <v>49</v>
      </c>
    </row>
    <row r="2" spans="1:3" x14ac:dyDescent="0.25">
      <c r="A2" s="14" t="s">
        <v>50</v>
      </c>
      <c r="B2" s="13">
        <v>1100</v>
      </c>
      <c r="C2" t="s">
        <v>104</v>
      </c>
    </row>
    <row r="3" spans="1:3" x14ac:dyDescent="0.25">
      <c r="A3" s="14" t="s">
        <v>52</v>
      </c>
      <c r="B3" s="2">
        <v>0.03</v>
      </c>
      <c r="C3" t="s">
        <v>188</v>
      </c>
    </row>
    <row r="4" spans="1:3" x14ac:dyDescent="0.25">
      <c r="A4" s="14" t="s">
        <v>93</v>
      </c>
      <c r="B4" t="s">
        <v>103</v>
      </c>
    </row>
    <row r="5" spans="1:3" x14ac:dyDescent="0.25">
      <c r="A5" s="14" t="s">
        <v>94</v>
      </c>
      <c r="B5" t="s">
        <v>88</v>
      </c>
    </row>
    <row r="6" spans="1:3" x14ac:dyDescent="0.25">
      <c r="A6" s="14" t="s">
        <v>87</v>
      </c>
      <c r="B6" s="24">
        <v>20</v>
      </c>
      <c r="C6" t="s">
        <v>64</v>
      </c>
    </row>
    <row r="8" spans="1:3" x14ac:dyDescent="0.25">
      <c r="A8" s="14" t="s">
        <v>63</v>
      </c>
      <c r="B8" t="s">
        <v>90</v>
      </c>
    </row>
    <row r="9" spans="1:3" x14ac:dyDescent="0.25">
      <c r="A9" s="14">
        <v>1</v>
      </c>
      <c r="B9" s="2">
        <v>0.75</v>
      </c>
    </row>
    <row r="10" spans="1:3" x14ac:dyDescent="0.25">
      <c r="A10" s="14" t="s">
        <v>53</v>
      </c>
      <c r="B10" s="2">
        <v>1.03</v>
      </c>
    </row>
    <row r="11" spans="1:3" x14ac:dyDescent="0.25">
      <c r="A11" s="14" t="s">
        <v>54</v>
      </c>
      <c r="B11" s="2">
        <v>0.95</v>
      </c>
    </row>
    <row r="12" spans="1:3" x14ac:dyDescent="0.25">
      <c r="A12" s="14"/>
      <c r="B12" s="2"/>
    </row>
    <row r="13" spans="1:3" x14ac:dyDescent="0.25">
      <c r="A13" s="14" t="s">
        <v>55</v>
      </c>
      <c r="B13" s="2">
        <v>0.05</v>
      </c>
    </row>
    <row r="14" spans="1:3" x14ac:dyDescent="0.25">
      <c r="A14" s="14" t="s">
        <v>56</v>
      </c>
      <c r="B14" s="1">
        <v>5.0000000000000001E-3</v>
      </c>
      <c r="C14" t="s">
        <v>57</v>
      </c>
    </row>
    <row r="16" spans="1:3" x14ac:dyDescent="0.25">
      <c r="A16" s="4" t="s">
        <v>58</v>
      </c>
    </row>
    <row r="17" spans="1:8" x14ac:dyDescent="0.25">
      <c r="A17" t="s">
        <v>97</v>
      </c>
      <c r="C17" s="1" t="s">
        <v>15</v>
      </c>
    </row>
    <row r="18" spans="1:8" x14ac:dyDescent="0.25">
      <c r="A18" t="s">
        <v>98</v>
      </c>
      <c r="C18" s="1">
        <v>0.03</v>
      </c>
      <c r="D18" t="s">
        <v>91</v>
      </c>
    </row>
    <row r="19" spans="1:8" x14ac:dyDescent="0.25">
      <c r="A19" s="14" t="s">
        <v>102</v>
      </c>
      <c r="B19" s="1">
        <v>0.08</v>
      </c>
      <c r="C19" t="s">
        <v>91</v>
      </c>
    </row>
    <row r="20" spans="1:8" x14ac:dyDescent="0.25">
      <c r="A20" s="14" t="s">
        <v>9</v>
      </c>
      <c r="B20" t="s">
        <v>100</v>
      </c>
    </row>
    <row r="21" spans="1:8" x14ac:dyDescent="0.25">
      <c r="A21" s="14" t="s">
        <v>19</v>
      </c>
      <c r="B21" s="14">
        <v>250</v>
      </c>
    </row>
    <row r="22" spans="1:8" x14ac:dyDescent="0.25">
      <c r="A22" s="14" t="s">
        <v>20</v>
      </c>
      <c r="B22" s="14">
        <v>50</v>
      </c>
      <c r="C22" s="22" t="s">
        <v>232</v>
      </c>
    </row>
    <row r="23" spans="1:8" x14ac:dyDescent="0.25">
      <c r="A23" s="14" t="s">
        <v>40</v>
      </c>
      <c r="B23" s="25">
        <v>1.4999999999999999E-2</v>
      </c>
      <c r="C23" t="s">
        <v>92</v>
      </c>
    </row>
    <row r="27" spans="1:8" x14ac:dyDescent="0.25">
      <c r="B27" s="80" t="s">
        <v>15</v>
      </c>
      <c r="C27" s="80"/>
      <c r="E27" s="80" t="s">
        <v>101</v>
      </c>
      <c r="F27" s="80"/>
      <c r="G27" s="80"/>
      <c r="H27" s="80"/>
    </row>
    <row r="28" spans="1:8" ht="46.5" x14ac:dyDescent="0.35">
      <c r="B28" s="12" t="s">
        <v>59</v>
      </c>
      <c r="C28" s="8" t="s">
        <v>99</v>
      </c>
      <c r="E28" s="10" t="s">
        <v>13</v>
      </c>
      <c r="F28" s="10" t="s">
        <v>16</v>
      </c>
      <c r="G28" s="10" t="s">
        <v>17</v>
      </c>
      <c r="H28" s="10" t="s">
        <v>18</v>
      </c>
    </row>
    <row r="29" spans="1:8" x14ac:dyDescent="0.25">
      <c r="B29">
        <v>1</v>
      </c>
      <c r="C29" s="1">
        <v>0.06</v>
      </c>
      <c r="E29" s="9">
        <v>17</v>
      </c>
      <c r="F29">
        <v>1.75E-4</v>
      </c>
      <c r="G29">
        <v>2.2699999999999999E-4</v>
      </c>
      <c r="H29">
        <v>3.9899999999999999E-4</v>
      </c>
    </row>
    <row r="30" spans="1:8" x14ac:dyDescent="0.25">
      <c r="B30">
        <v>2</v>
      </c>
      <c r="C30" s="1">
        <v>6.5000000000000002E-2</v>
      </c>
      <c r="E30" s="9">
        <v>18</v>
      </c>
      <c r="F30">
        <v>1.76E-4</v>
      </c>
      <c r="G30">
        <v>2.2799999999999999E-4</v>
      </c>
      <c r="H30">
        <v>4.0199999999999996E-4</v>
      </c>
    </row>
    <row r="31" spans="1:8" x14ac:dyDescent="0.25">
      <c r="B31">
        <v>3</v>
      </c>
      <c r="C31" s="1">
        <v>0.05</v>
      </c>
      <c r="E31" s="9">
        <v>19</v>
      </c>
      <c r="F31">
        <v>1.7699999999999999E-4</v>
      </c>
      <c r="G31">
        <v>2.2999999999999998E-4</v>
      </c>
      <c r="H31">
        <v>4.0499999999999998E-4</v>
      </c>
    </row>
    <row r="32" spans="1:8" x14ac:dyDescent="0.25">
      <c r="B32">
        <v>4</v>
      </c>
      <c r="C32" s="1">
        <v>5.2499999999999998E-2</v>
      </c>
      <c r="E32" s="9">
        <v>20</v>
      </c>
      <c r="F32">
        <v>1.7899999999999999E-4</v>
      </c>
      <c r="G32">
        <v>2.32E-4</v>
      </c>
      <c r="H32">
        <v>4.0899999999999997E-4</v>
      </c>
    </row>
    <row r="33" spans="2:8" x14ac:dyDescent="0.25">
      <c r="B33">
        <v>5</v>
      </c>
      <c r="C33" s="1">
        <v>5.7500000000000002E-2</v>
      </c>
      <c r="E33" s="9">
        <v>21</v>
      </c>
      <c r="F33">
        <v>1.7999999999999998E-4</v>
      </c>
      <c r="G33">
        <v>2.34E-4</v>
      </c>
      <c r="H33">
        <v>4.1299999999999996E-4</v>
      </c>
    </row>
    <row r="34" spans="2:8" x14ac:dyDescent="0.25">
      <c r="B34">
        <v>6</v>
      </c>
      <c r="C34" s="1">
        <v>0.06</v>
      </c>
      <c r="E34" s="9">
        <v>22</v>
      </c>
      <c r="F34">
        <v>1.83E-4</v>
      </c>
      <c r="G34">
        <v>2.3799999999999998E-4</v>
      </c>
      <c r="H34">
        <v>4.1799999999999997E-4</v>
      </c>
    </row>
    <row r="35" spans="2:8" x14ac:dyDescent="0.25">
      <c r="B35">
        <v>7</v>
      </c>
      <c r="C35" s="1">
        <v>7.0000000000000007E-2</v>
      </c>
      <c r="E35" s="9">
        <v>23</v>
      </c>
      <c r="F35">
        <v>1.85E-4</v>
      </c>
      <c r="G35">
        <v>2.3999999999999998E-4</v>
      </c>
      <c r="H35">
        <v>4.2199999999999996E-4</v>
      </c>
    </row>
    <row r="36" spans="2:8" x14ac:dyDescent="0.25">
      <c r="B36">
        <v>8</v>
      </c>
      <c r="C36" s="1">
        <v>7.4999999999999997E-2</v>
      </c>
      <c r="E36" s="9">
        <v>24</v>
      </c>
      <c r="F36">
        <v>1.8699999999999999E-4</v>
      </c>
      <c r="G36">
        <v>2.43E-4</v>
      </c>
      <c r="H36">
        <v>4.2899999999999997E-4</v>
      </c>
    </row>
    <row r="37" spans="2:8" x14ac:dyDescent="0.25">
      <c r="B37">
        <v>9</v>
      </c>
      <c r="C37" s="1">
        <v>7.0000000000000007E-2</v>
      </c>
      <c r="E37" s="9">
        <v>25</v>
      </c>
      <c r="F37">
        <v>1.8999999999999998E-4</v>
      </c>
      <c r="G37">
        <v>2.4800000000000001E-4</v>
      </c>
      <c r="H37">
        <v>4.3599999999999997E-4</v>
      </c>
    </row>
    <row r="38" spans="2:8" x14ac:dyDescent="0.25">
      <c r="B38">
        <v>10</v>
      </c>
      <c r="C38" s="1">
        <v>7.2499999999999995E-2</v>
      </c>
      <c r="E38" s="9">
        <v>26</v>
      </c>
      <c r="F38">
        <v>1.94E-4</v>
      </c>
      <c r="G38">
        <v>2.52E-4</v>
      </c>
      <c r="H38">
        <v>4.4299999999999998E-4</v>
      </c>
    </row>
    <row r="39" spans="2:8" x14ac:dyDescent="0.25">
      <c r="B39">
        <v>11</v>
      </c>
      <c r="C39" s="1">
        <v>7.2999999999999995E-2</v>
      </c>
      <c r="E39" s="9">
        <v>27</v>
      </c>
      <c r="F39">
        <v>1.9799999999999999E-4</v>
      </c>
      <c r="G39">
        <v>2.5599999999999999E-4</v>
      </c>
      <c r="H39">
        <v>4.5199999999999998E-4</v>
      </c>
    </row>
    <row r="40" spans="2:8" x14ac:dyDescent="0.25">
      <c r="B40">
        <v>12</v>
      </c>
      <c r="C40" s="1">
        <v>7.3499999999999996E-2</v>
      </c>
      <c r="E40" s="9">
        <v>28</v>
      </c>
      <c r="F40">
        <v>2.02E-4</v>
      </c>
      <c r="G40">
        <v>2.63E-4</v>
      </c>
      <c r="H40">
        <v>4.6299999999999998E-4</v>
      </c>
    </row>
    <row r="41" spans="2:8" x14ac:dyDescent="0.25">
      <c r="B41">
        <v>13</v>
      </c>
      <c r="C41" s="1">
        <v>7.3999999999999996E-2</v>
      </c>
      <c r="E41" s="9">
        <v>29</v>
      </c>
      <c r="F41">
        <v>2.0799999999999999E-4</v>
      </c>
      <c r="G41">
        <v>2.7E-4</v>
      </c>
      <c r="H41">
        <v>4.7399999999999997E-4</v>
      </c>
    </row>
    <row r="42" spans="2:8" x14ac:dyDescent="0.25">
      <c r="B42">
        <v>14</v>
      </c>
      <c r="C42" s="1">
        <v>7.4499999999999997E-2</v>
      </c>
      <c r="E42" s="9">
        <v>30</v>
      </c>
      <c r="F42">
        <v>2.1599999999999999E-4</v>
      </c>
      <c r="G42">
        <v>2.7900000000000001E-4</v>
      </c>
      <c r="H42">
        <v>4.8699999999999997E-4</v>
      </c>
    </row>
    <row r="43" spans="2:8" x14ac:dyDescent="0.25">
      <c r="B43">
        <v>15</v>
      </c>
      <c r="C43" s="1">
        <v>7.4999999999999997E-2</v>
      </c>
      <c r="E43" s="9">
        <v>31</v>
      </c>
      <c r="F43">
        <v>2.2699999999999999E-4</v>
      </c>
      <c r="G43">
        <v>2.92E-4</v>
      </c>
      <c r="H43">
        <v>5.0199999999999995E-4</v>
      </c>
    </row>
    <row r="44" spans="2:8" x14ac:dyDescent="0.25">
      <c r="B44">
        <v>16</v>
      </c>
      <c r="C44" s="1">
        <v>7.5499999999999998E-2</v>
      </c>
      <c r="E44" s="9">
        <v>32</v>
      </c>
      <c r="F44">
        <v>2.3899999999999998E-4</v>
      </c>
      <c r="G44">
        <v>3.0699999999999998E-4</v>
      </c>
      <c r="H44">
        <v>5.1800000000000001E-4</v>
      </c>
    </row>
    <row r="45" spans="2:8" x14ac:dyDescent="0.25">
      <c r="B45">
        <v>17</v>
      </c>
      <c r="C45" s="1">
        <v>7.5999999999999998E-2</v>
      </c>
      <c r="E45" s="9">
        <v>33</v>
      </c>
      <c r="F45">
        <v>2.5399999999999999E-4</v>
      </c>
      <c r="G45">
        <v>3.2499999999999999E-4</v>
      </c>
      <c r="H45">
        <v>5.3799999999999996E-4</v>
      </c>
    </row>
    <row r="46" spans="2:8" x14ac:dyDescent="0.25">
      <c r="B46">
        <v>18</v>
      </c>
      <c r="C46" s="1">
        <v>7.6499999999999999E-2</v>
      </c>
      <c r="E46" s="9">
        <v>34</v>
      </c>
      <c r="F46">
        <v>2.7E-4</v>
      </c>
      <c r="G46">
        <v>3.4199999999999996E-4</v>
      </c>
      <c r="H46">
        <v>5.5899999999999993E-4</v>
      </c>
    </row>
    <row r="47" spans="2:8" x14ac:dyDescent="0.25">
      <c r="B47">
        <v>19</v>
      </c>
      <c r="C47" s="1">
        <v>7.6999999999999999E-2</v>
      </c>
      <c r="E47" s="9">
        <v>35</v>
      </c>
      <c r="F47">
        <v>2.8699999999999998E-4</v>
      </c>
      <c r="G47">
        <v>3.6299999999999999E-4</v>
      </c>
      <c r="H47">
        <v>5.8399999999999999E-4</v>
      </c>
    </row>
    <row r="48" spans="2:8" x14ac:dyDescent="0.25">
      <c r="B48">
        <v>20</v>
      </c>
      <c r="C48" s="1">
        <v>7.7499999999999999E-2</v>
      </c>
      <c r="E48" s="9">
        <v>36</v>
      </c>
      <c r="F48">
        <v>3.0600000000000001E-4</v>
      </c>
      <c r="G48">
        <v>3.8499999999999998E-4</v>
      </c>
      <c r="H48">
        <v>6.1200000000000002E-4</v>
      </c>
    </row>
    <row r="49" spans="5:8" x14ac:dyDescent="0.25">
      <c r="E49" s="9">
        <v>37</v>
      </c>
      <c r="F49">
        <v>3.2699999999999998E-4</v>
      </c>
      <c r="G49">
        <v>4.0999999999999999E-4</v>
      </c>
      <c r="H49">
        <v>6.4399999999999993E-4</v>
      </c>
    </row>
    <row r="50" spans="5:8" x14ac:dyDescent="0.25">
      <c r="E50" s="9">
        <v>38</v>
      </c>
      <c r="F50">
        <v>3.4899999999999997E-4</v>
      </c>
      <c r="G50">
        <v>4.37E-4</v>
      </c>
      <c r="H50">
        <v>6.7899999999999992E-4</v>
      </c>
    </row>
    <row r="51" spans="5:8" x14ac:dyDescent="0.25">
      <c r="E51" s="9">
        <v>39</v>
      </c>
      <c r="F51">
        <v>3.7299999999999996E-4</v>
      </c>
      <c r="G51">
        <v>4.66E-4</v>
      </c>
      <c r="H51">
        <v>7.1900000000000002E-4</v>
      </c>
    </row>
    <row r="52" spans="5:8" x14ac:dyDescent="0.25">
      <c r="E52" s="9">
        <v>40</v>
      </c>
      <c r="F52">
        <v>3.9999999999999996E-4</v>
      </c>
      <c r="G52">
        <v>5.0099999999999993E-4</v>
      </c>
      <c r="H52">
        <v>7.6599999999999997E-4</v>
      </c>
    </row>
    <row r="53" spans="5:8" x14ac:dyDescent="0.25">
      <c r="E53" s="9">
        <v>41</v>
      </c>
      <c r="F53">
        <v>4.2999999999999999E-4</v>
      </c>
      <c r="G53">
        <v>5.3699999999999993E-4</v>
      </c>
      <c r="H53">
        <v>8.1799999999999993E-4</v>
      </c>
    </row>
    <row r="54" spans="5:8" x14ac:dyDescent="0.25">
      <c r="E54" s="9">
        <v>42</v>
      </c>
      <c r="F54">
        <v>4.64E-4</v>
      </c>
      <c r="G54">
        <v>5.7899999999999998E-4</v>
      </c>
      <c r="H54">
        <v>8.7799999999999998E-4</v>
      </c>
    </row>
    <row r="55" spans="5:8" x14ac:dyDescent="0.25">
      <c r="E55" s="9">
        <v>43</v>
      </c>
      <c r="F55">
        <v>5.0099999999999993E-4</v>
      </c>
      <c r="G55">
        <v>6.2399999999999999E-4</v>
      </c>
      <c r="H55">
        <v>9.4600000000000001E-4</v>
      </c>
    </row>
    <row r="56" spans="5:8" x14ac:dyDescent="0.25">
      <c r="E56" s="9">
        <v>44</v>
      </c>
      <c r="F56">
        <v>5.4099999999999992E-4</v>
      </c>
      <c r="G56">
        <v>6.7400000000000001E-4</v>
      </c>
      <c r="H56">
        <v>1.0219999999999999E-3</v>
      </c>
    </row>
    <row r="57" spans="5:8" x14ac:dyDescent="0.25">
      <c r="E57" s="9">
        <v>45</v>
      </c>
      <c r="F57">
        <v>5.8599999999999993E-4</v>
      </c>
      <c r="G57">
        <v>7.3200000000000001E-4</v>
      </c>
      <c r="H57">
        <v>1.109E-3</v>
      </c>
    </row>
    <row r="58" spans="5:8" x14ac:dyDescent="0.25">
      <c r="E58" s="9">
        <v>46</v>
      </c>
      <c r="F58">
        <v>6.3699999999999998E-4</v>
      </c>
      <c r="G58">
        <v>7.94E-4</v>
      </c>
      <c r="H58">
        <v>1.2079999999999999E-3</v>
      </c>
    </row>
    <row r="59" spans="5:8" x14ac:dyDescent="0.25">
      <c r="E59" s="9">
        <v>47</v>
      </c>
      <c r="F59">
        <v>6.9200000000000002E-4</v>
      </c>
      <c r="G59">
        <v>8.6499999999999999E-4</v>
      </c>
      <c r="H59">
        <v>1.32E-3</v>
      </c>
    </row>
    <row r="60" spans="5:8" x14ac:dyDescent="0.25">
      <c r="E60" s="9">
        <v>48</v>
      </c>
      <c r="F60">
        <v>7.54E-4</v>
      </c>
      <c r="G60">
        <v>9.4299999999999994E-4</v>
      </c>
      <c r="H60">
        <v>1.4469999999999999E-3</v>
      </c>
    </row>
    <row r="61" spans="5:8" x14ac:dyDescent="0.25">
      <c r="E61" s="9">
        <v>49</v>
      </c>
      <c r="F61">
        <v>8.2199999999999992E-4</v>
      </c>
      <c r="G61">
        <v>1.0299999999999999E-3</v>
      </c>
      <c r="H61">
        <v>1.5919999999999999E-3</v>
      </c>
    </row>
    <row r="62" spans="5:8" x14ac:dyDescent="0.25">
      <c r="E62" s="9">
        <v>50</v>
      </c>
      <c r="F62">
        <v>8.9799999999999993E-4</v>
      </c>
      <c r="G62">
        <v>1.126E-3</v>
      </c>
      <c r="H62">
        <v>1.7549999999999998E-3</v>
      </c>
    </row>
    <row r="63" spans="5:8" x14ac:dyDescent="0.25">
      <c r="E63" s="9">
        <v>51</v>
      </c>
      <c r="F63">
        <v>9.8099999999999988E-4</v>
      </c>
      <c r="G63">
        <v>1.2339999999999999E-3</v>
      </c>
      <c r="H63">
        <v>1.9399999999999999E-3</v>
      </c>
    </row>
    <row r="64" spans="5:8" x14ac:dyDescent="0.25">
      <c r="E64" s="9">
        <v>52</v>
      </c>
      <c r="F64">
        <v>1.073E-3</v>
      </c>
      <c r="G64">
        <v>1.353E-3</v>
      </c>
      <c r="H64">
        <v>2.1509999999999997E-3</v>
      </c>
    </row>
    <row r="65" spans="5:8" x14ac:dyDescent="0.25">
      <c r="E65" s="9">
        <v>53</v>
      </c>
      <c r="F65">
        <v>1.1739999999999999E-3</v>
      </c>
      <c r="G65">
        <v>1.485E-3</v>
      </c>
      <c r="H65">
        <v>2.3890000000000001E-3</v>
      </c>
    </row>
    <row r="66" spans="5:8" x14ac:dyDescent="0.25">
      <c r="E66" s="9">
        <v>54</v>
      </c>
      <c r="F66">
        <v>1.286E-3</v>
      </c>
      <c r="G66">
        <v>1.632E-3</v>
      </c>
      <c r="H66">
        <v>2.66E-3</v>
      </c>
    </row>
    <row r="67" spans="5:8" x14ac:dyDescent="0.25">
      <c r="E67" s="9">
        <v>55</v>
      </c>
      <c r="F67">
        <v>1.4089999999999999E-3</v>
      </c>
      <c r="G67">
        <v>1.7949999999999999E-3</v>
      </c>
      <c r="H67">
        <v>2.967E-3</v>
      </c>
    </row>
    <row r="68" spans="5:8" x14ac:dyDescent="0.25">
      <c r="E68" s="9">
        <v>56</v>
      </c>
      <c r="F68">
        <v>1.5429999999999999E-3</v>
      </c>
      <c r="G68">
        <v>1.9759999999999999E-3</v>
      </c>
      <c r="H68">
        <v>3.3139999999999997E-3</v>
      </c>
    </row>
    <row r="69" spans="5:8" x14ac:dyDescent="0.25">
      <c r="E69" s="9">
        <v>57</v>
      </c>
      <c r="F69">
        <v>1.6919999999999999E-3</v>
      </c>
      <c r="G69">
        <v>2.176E-3</v>
      </c>
      <c r="H69">
        <v>3.7079999999999999E-3</v>
      </c>
    </row>
    <row r="70" spans="5:8" x14ac:dyDescent="0.25">
      <c r="E70" s="9">
        <v>58</v>
      </c>
      <c r="F70">
        <v>1.856E-3</v>
      </c>
      <c r="G70">
        <v>2.398E-3</v>
      </c>
      <c r="H70">
        <v>4.156E-3</v>
      </c>
    </row>
    <row r="71" spans="5:8" x14ac:dyDescent="0.25">
      <c r="E71" s="9">
        <v>59</v>
      </c>
      <c r="F71">
        <v>2.0349999999999999E-3</v>
      </c>
      <c r="G71">
        <v>2.643E-3</v>
      </c>
      <c r="H71">
        <v>4.6619999999999995E-3</v>
      </c>
    </row>
    <row r="72" spans="5:8" x14ac:dyDescent="0.25">
      <c r="E72" s="9">
        <v>60</v>
      </c>
      <c r="F72">
        <v>2.232E-3</v>
      </c>
      <c r="G72">
        <v>2.9150000000000001E-3</v>
      </c>
      <c r="H72">
        <v>5.2359999999999993E-3</v>
      </c>
    </row>
    <row r="73" spans="5:8" x14ac:dyDescent="0.25">
      <c r="E73" s="9">
        <v>61</v>
      </c>
      <c r="F73">
        <v>2.4480000000000001E-3</v>
      </c>
      <c r="G73">
        <v>3.215E-3</v>
      </c>
      <c r="H73">
        <v>5.8859999999999997E-3</v>
      </c>
    </row>
    <row r="74" spans="5:8" x14ac:dyDescent="0.25">
      <c r="E74" s="9">
        <v>62</v>
      </c>
      <c r="F74">
        <v>2.6849999999999999E-3</v>
      </c>
      <c r="G74">
        <v>3.5499999999999998E-3</v>
      </c>
      <c r="H74">
        <v>6.6229999999999995E-3</v>
      </c>
    </row>
    <row r="75" spans="5:8" x14ac:dyDescent="0.25">
      <c r="E75" s="9">
        <v>63</v>
      </c>
      <c r="F75">
        <v>2.9479999999999997E-3</v>
      </c>
      <c r="G75">
        <v>3.9199999999999999E-3</v>
      </c>
      <c r="H75">
        <v>7.4589999999999995E-3</v>
      </c>
    </row>
    <row r="76" spans="5:8" x14ac:dyDescent="0.25">
      <c r="E76" s="9">
        <v>64</v>
      </c>
      <c r="F76">
        <v>3.2359999999999997E-3</v>
      </c>
      <c r="G76">
        <v>4.333E-3</v>
      </c>
      <c r="H76">
        <v>8.404E-3</v>
      </c>
    </row>
    <row r="77" spans="5:8" x14ac:dyDescent="0.25">
      <c r="E77" s="9">
        <v>65</v>
      </c>
      <c r="F77">
        <v>3.5559999999999997E-3</v>
      </c>
      <c r="G77">
        <v>4.7919999999999994E-3</v>
      </c>
      <c r="H77">
        <v>9.474999999999999E-3</v>
      </c>
    </row>
    <row r="78" spans="5:8" x14ac:dyDescent="0.25">
      <c r="E78" s="9">
        <v>66</v>
      </c>
      <c r="F78">
        <v>3.9119999999999997E-3</v>
      </c>
      <c r="G78">
        <v>5.3049999999999998E-3</v>
      </c>
      <c r="H78">
        <v>1.0688999999999999E-2</v>
      </c>
    </row>
    <row r="79" spans="5:8" x14ac:dyDescent="0.25">
      <c r="E79" s="9">
        <v>67</v>
      </c>
      <c r="F79">
        <v>4.3070000000000001E-3</v>
      </c>
      <c r="G79">
        <v>5.8799999999999998E-3</v>
      </c>
      <c r="H79">
        <v>1.2062E-2</v>
      </c>
    </row>
    <row r="80" spans="5:8" x14ac:dyDescent="0.25">
      <c r="E80" s="9">
        <v>68</v>
      </c>
      <c r="F80">
        <v>4.7489999999999997E-3</v>
      </c>
      <c r="G80">
        <v>6.5239999999999994E-3</v>
      </c>
      <c r="H80">
        <v>1.3616E-2</v>
      </c>
    </row>
    <row r="81" spans="5:8" x14ac:dyDescent="0.25">
      <c r="E81" s="9">
        <v>69</v>
      </c>
      <c r="F81">
        <v>5.2459999999999998E-3</v>
      </c>
      <c r="G81">
        <v>7.2509999999999996E-3</v>
      </c>
      <c r="H81">
        <v>1.5375E-2</v>
      </c>
    </row>
    <row r="82" spans="5:8" x14ac:dyDescent="0.25">
      <c r="E82" s="9">
        <v>70</v>
      </c>
      <c r="F82">
        <v>5.8100000000000001E-3</v>
      </c>
      <c r="G82">
        <v>8.0749999999999988E-3</v>
      </c>
      <c r="H82">
        <v>1.7364999999999998E-2</v>
      </c>
    </row>
    <row r="83" spans="5:8" x14ac:dyDescent="0.25">
      <c r="E83" s="9">
        <v>71</v>
      </c>
      <c r="F83">
        <v>6.4529999999999995E-3</v>
      </c>
      <c r="G83">
        <v>9.0109999999999999E-3</v>
      </c>
      <c r="H83">
        <v>1.9615E-2</v>
      </c>
    </row>
    <row r="84" spans="5:8" x14ac:dyDescent="0.25">
      <c r="E84" s="9">
        <v>72</v>
      </c>
      <c r="F84">
        <v>7.1899999999999993E-3</v>
      </c>
      <c r="G84">
        <v>1.0079999999999999E-2</v>
      </c>
      <c r="H84">
        <v>2.2159999999999999E-2</v>
      </c>
    </row>
    <row r="85" spans="5:8" x14ac:dyDescent="0.25">
      <c r="E85" s="9">
        <v>73</v>
      </c>
      <c r="F85">
        <v>8.0419999999999988E-3</v>
      </c>
      <c r="G85">
        <v>1.1308E-2</v>
      </c>
      <c r="H85">
        <v>2.5034999999999998E-2</v>
      </c>
    </row>
    <row r="86" spans="5:8" x14ac:dyDescent="0.25">
      <c r="E86" s="9">
        <v>74</v>
      </c>
      <c r="F86">
        <v>9.0349999999999996E-3</v>
      </c>
      <c r="G86">
        <v>1.2723999999999999E-2</v>
      </c>
      <c r="H86">
        <v>2.8282999999999999E-2</v>
      </c>
    </row>
    <row r="87" spans="5:8" x14ac:dyDescent="0.25">
      <c r="E87" s="9">
        <v>75</v>
      </c>
      <c r="F87">
        <v>1.0199999999999999E-2</v>
      </c>
      <c r="G87">
        <v>1.4367E-2</v>
      </c>
      <c r="H87">
        <v>3.1952999999999995E-2</v>
      </c>
    </row>
    <row r="88" spans="5:8" x14ac:dyDescent="0.25">
      <c r="E88" s="9">
        <v>76</v>
      </c>
      <c r="F88">
        <v>1.1575E-2</v>
      </c>
      <c r="G88">
        <v>1.6282999999999999E-2</v>
      </c>
      <c r="H88">
        <v>3.6094000000000001E-2</v>
      </c>
    </row>
    <row r="89" spans="5:8" x14ac:dyDescent="0.25">
      <c r="E89" s="9">
        <v>77</v>
      </c>
      <c r="F89">
        <v>1.3210999999999999E-2</v>
      </c>
      <c r="G89">
        <v>1.8527999999999999E-2</v>
      </c>
      <c r="H89">
        <v>4.0765999999999997E-2</v>
      </c>
    </row>
    <row r="90" spans="5:8" x14ac:dyDescent="0.25">
      <c r="E90" s="9">
        <v>78</v>
      </c>
      <c r="F90">
        <v>1.5167999999999999E-2</v>
      </c>
      <c r="G90">
        <v>2.1172E-2</v>
      </c>
      <c r="H90">
        <v>4.6033999999999999E-2</v>
      </c>
    </row>
    <row r="91" spans="5:8" x14ac:dyDescent="0.25">
      <c r="E91" s="9">
        <v>79</v>
      </c>
      <c r="F91">
        <v>1.7447000000000001E-2</v>
      </c>
      <c r="G91">
        <v>2.4225E-2</v>
      </c>
      <c r="H91">
        <v>5.1969999999999995E-2</v>
      </c>
    </row>
    <row r="92" spans="5:8" x14ac:dyDescent="0.25">
      <c r="E92" s="9">
        <v>80</v>
      </c>
      <c r="F92">
        <v>2.0014999999999998E-2</v>
      </c>
      <c r="G92">
        <v>2.7664999999999999E-2</v>
      </c>
      <c r="H92">
        <v>5.8650999999999995E-2</v>
      </c>
    </row>
    <row r="93" spans="5:8" x14ac:dyDescent="0.25">
      <c r="E93" s="9">
        <v>81</v>
      </c>
      <c r="F93">
        <v>2.2779999999999998E-2</v>
      </c>
      <c r="G93">
        <v>3.1411000000000001E-2</v>
      </c>
      <c r="H93">
        <v>6.6167999999999991E-2</v>
      </c>
    </row>
    <row r="94" spans="5:8" x14ac:dyDescent="0.25">
      <c r="E94" s="9">
        <v>82</v>
      </c>
      <c r="F94">
        <v>2.5770999999999999E-2</v>
      </c>
      <c r="G94">
        <v>3.5503E-2</v>
      </c>
      <c r="H94">
        <v>7.4616000000000002E-2</v>
      </c>
    </row>
    <row r="95" spans="5:8" x14ac:dyDescent="0.25">
      <c r="E95" s="9">
        <v>83</v>
      </c>
      <c r="F95">
        <v>2.87E-2</v>
      </c>
      <c r="G95">
        <v>3.9537999999999997E-2</v>
      </c>
      <c r="H95">
        <v>8.4098999999999993E-2</v>
      </c>
    </row>
    <row r="96" spans="5:8" x14ac:dyDescent="0.25">
      <c r="E96" s="9">
        <v>84</v>
      </c>
      <c r="F96">
        <v>3.1716000000000001E-2</v>
      </c>
      <c r="G96">
        <v>4.3693999999999997E-2</v>
      </c>
      <c r="H96">
        <v>9.469699999999999E-2</v>
      </c>
    </row>
    <row r="97" spans="5:8" x14ac:dyDescent="0.25">
      <c r="E97" s="9">
        <v>85</v>
      </c>
      <c r="F97">
        <v>3.5004E-2</v>
      </c>
      <c r="G97">
        <v>4.8223999999999996E-2</v>
      </c>
      <c r="H97">
        <v>0.10508199999999999</v>
      </c>
    </row>
    <row r="98" spans="5:8" x14ac:dyDescent="0.25">
      <c r="E98" s="9">
        <v>86</v>
      </c>
      <c r="F98">
        <v>3.8580999999999997E-2</v>
      </c>
      <c r="G98">
        <v>5.3150999999999997E-2</v>
      </c>
      <c r="H98">
        <v>0.11581899999999999</v>
      </c>
    </row>
    <row r="99" spans="5:8" x14ac:dyDescent="0.25">
      <c r="E99" s="9">
        <v>87</v>
      </c>
      <c r="F99">
        <v>4.2463999999999995E-2</v>
      </c>
      <c r="G99">
        <v>5.8500999999999997E-2</v>
      </c>
      <c r="H99">
        <v>0.12747700000000001</v>
      </c>
    </row>
    <row r="100" spans="5:8" x14ac:dyDescent="0.25">
      <c r="E100" s="9">
        <v>88</v>
      </c>
      <c r="F100">
        <v>4.6671999999999998E-2</v>
      </c>
      <c r="G100">
        <v>6.4296999999999993E-2</v>
      </c>
      <c r="H100">
        <v>0.14010699999999998</v>
      </c>
    </row>
    <row r="101" spans="5:8" x14ac:dyDescent="0.25">
      <c r="E101" s="9">
        <v>89</v>
      </c>
      <c r="F101">
        <v>5.1219000000000001E-2</v>
      </c>
      <c r="G101">
        <v>7.0563000000000001E-2</v>
      </c>
      <c r="H101">
        <v>0.15375999999999998</v>
      </c>
    </row>
    <row r="102" spans="5:8" x14ac:dyDescent="0.25">
      <c r="E102" s="9">
        <v>90</v>
      </c>
      <c r="F102">
        <v>5.6124E-2</v>
      </c>
      <c r="G102">
        <v>7.732E-2</v>
      </c>
      <c r="H102">
        <v>0.168485</v>
      </c>
    </row>
  </sheetData>
  <mergeCells count="2">
    <mergeCell ref="B27:C27"/>
    <mergeCell ref="E27:H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940CD-A86D-4556-8BD6-079C777483E5}">
  <dimension ref="A1:AF41"/>
  <sheetViews>
    <sheetView workbookViewId="0">
      <selection activeCell="A7" sqref="A7"/>
    </sheetView>
  </sheetViews>
  <sheetFormatPr defaultRowHeight="15" x14ac:dyDescent="0.25"/>
  <cols>
    <col min="1" max="1" width="39.5703125" customWidth="1"/>
    <col min="2" max="2" width="10.140625" bestFit="1" customWidth="1"/>
    <col min="3" max="3" width="13" customWidth="1"/>
    <col min="4" max="5" width="11.85546875" customWidth="1"/>
    <col min="6" max="6" width="13.85546875" customWidth="1"/>
    <col min="7" max="7" width="18.28515625" customWidth="1"/>
    <col min="8" max="8" width="10.42578125" customWidth="1"/>
    <col min="9" max="9" width="17.42578125" customWidth="1"/>
    <col min="10" max="10" width="16.7109375" customWidth="1"/>
    <col min="11" max="11" width="14.7109375" customWidth="1"/>
    <col min="14" max="14" width="12" customWidth="1"/>
    <col min="16" max="16" width="9.5703125" customWidth="1"/>
    <col min="17" max="17" width="12.140625" customWidth="1"/>
    <col min="18" max="18" width="10.42578125" customWidth="1"/>
    <col min="19" max="19" width="13.85546875" customWidth="1"/>
    <col min="21" max="22" width="10.28515625" customWidth="1"/>
    <col min="23" max="26" width="10.85546875" customWidth="1"/>
    <col min="31" max="31" width="10.42578125" customWidth="1"/>
  </cols>
  <sheetData>
    <row r="1" spans="1:5" x14ac:dyDescent="0.25">
      <c r="A1" s="4" t="s">
        <v>86</v>
      </c>
    </row>
    <row r="3" spans="1:5" x14ac:dyDescent="0.25">
      <c r="A3" s="4" t="s">
        <v>21</v>
      </c>
    </row>
    <row r="4" spans="1:5" x14ac:dyDescent="0.25">
      <c r="B4" s="69"/>
    </row>
    <row r="5" spans="1:5" x14ac:dyDescent="0.25">
      <c r="A5" t="s">
        <v>22</v>
      </c>
      <c r="B5" s="70">
        <f>'Q3 Base'!B2</f>
        <v>1100</v>
      </c>
      <c r="C5" t="s">
        <v>60</v>
      </c>
      <c r="D5" s="71">
        <f>'Q3 Base'!B3</f>
        <v>0.03</v>
      </c>
      <c r="E5" t="s">
        <v>188</v>
      </c>
    </row>
    <row r="6" spans="1:5" x14ac:dyDescent="0.25">
      <c r="A6" t="s">
        <v>61</v>
      </c>
      <c r="B6" s="21">
        <f>'Q3 Base'!B9</f>
        <v>0.75</v>
      </c>
    </row>
    <row r="7" spans="1:5" x14ac:dyDescent="0.25">
      <c r="A7" t="s">
        <v>62</v>
      </c>
      <c r="B7" s="21">
        <f>'Q3 Base'!B10</f>
        <v>1.03</v>
      </c>
    </row>
    <row r="8" spans="1:5" x14ac:dyDescent="0.25">
      <c r="A8" t="s">
        <v>190</v>
      </c>
      <c r="B8" s="21">
        <f>'Q3 Base'!B11</f>
        <v>0.95</v>
      </c>
    </row>
    <row r="9" spans="1:5" x14ac:dyDescent="0.25">
      <c r="A9" t="s">
        <v>25</v>
      </c>
      <c r="B9" s="71">
        <f>'Q3 Base'!B13</f>
        <v>0.05</v>
      </c>
    </row>
    <row r="10" spans="1:5" x14ac:dyDescent="0.25">
      <c r="A10" t="s">
        <v>26</v>
      </c>
      <c r="B10" s="71">
        <f>'Q3 Base'!B14</f>
        <v>5.0000000000000001E-3</v>
      </c>
      <c r="C10" t="s">
        <v>51</v>
      </c>
    </row>
    <row r="11" spans="1:5" x14ac:dyDescent="0.25">
      <c r="A11" t="s">
        <v>23</v>
      </c>
      <c r="B11" s="72">
        <f>'Q3 Base'!B21</f>
        <v>250</v>
      </c>
    </row>
    <row r="12" spans="1:5" x14ac:dyDescent="0.25">
      <c r="A12" t="s">
        <v>24</v>
      </c>
      <c r="B12" s="72">
        <f>'Q3 Base'!B22</f>
        <v>50</v>
      </c>
    </row>
    <row r="13" spans="1:5" x14ac:dyDescent="0.25">
      <c r="A13" t="s">
        <v>40</v>
      </c>
      <c r="B13" s="71">
        <f>'Q3 Base'!B23</f>
        <v>1.4999999999999999E-2</v>
      </c>
    </row>
    <row r="14" spans="1:5" x14ac:dyDescent="0.25">
      <c r="A14" t="s">
        <v>98</v>
      </c>
      <c r="B14" s="21">
        <f>'Q3 Base'!C18</f>
        <v>0.03</v>
      </c>
      <c r="C14" t="s">
        <v>51</v>
      </c>
    </row>
    <row r="15" spans="1:5" x14ac:dyDescent="0.25">
      <c r="B15" s="1"/>
    </row>
    <row r="16" spans="1:5" x14ac:dyDescent="0.25">
      <c r="B16" s="2"/>
    </row>
    <row r="17" spans="2:32" x14ac:dyDescent="0.25">
      <c r="B17" s="2"/>
    </row>
    <row r="18" spans="2:32" s="9" customFormat="1" x14ac:dyDescent="0.25">
      <c r="B18" s="73"/>
      <c r="C18" s="48" t="s">
        <v>7</v>
      </c>
      <c r="D18" s="48" t="s">
        <v>7</v>
      </c>
      <c r="E18" s="48" t="s">
        <v>7</v>
      </c>
      <c r="F18" s="48" t="s">
        <v>7</v>
      </c>
      <c r="G18" s="48"/>
      <c r="H18" s="48" t="s">
        <v>8</v>
      </c>
      <c r="I18" s="48" t="s">
        <v>7</v>
      </c>
      <c r="J18" s="48" t="s">
        <v>7</v>
      </c>
      <c r="K18" s="48" t="s">
        <v>7</v>
      </c>
      <c r="N18" s="48" t="s">
        <v>7</v>
      </c>
      <c r="O18" s="48" t="s">
        <v>7</v>
      </c>
      <c r="P18" s="48" t="s">
        <v>8</v>
      </c>
      <c r="Q18" s="48" t="s">
        <v>7</v>
      </c>
      <c r="R18" s="48" t="s">
        <v>7</v>
      </c>
      <c r="S18" s="48" t="s">
        <v>7</v>
      </c>
      <c r="T18" s="48" t="s">
        <v>8</v>
      </c>
      <c r="U18" s="48" t="s">
        <v>8</v>
      </c>
      <c r="V18" s="48" t="s">
        <v>8</v>
      </c>
      <c r="W18" s="48" t="s">
        <v>7</v>
      </c>
    </row>
    <row r="19" spans="2:32" x14ac:dyDescent="0.25">
      <c r="B19" s="4" t="s">
        <v>27</v>
      </c>
      <c r="M19" s="4" t="s">
        <v>28</v>
      </c>
      <c r="AD19" s="7"/>
      <c r="AE19" s="7"/>
      <c r="AF19" s="74"/>
    </row>
    <row r="20" spans="2:32" s="9" customFormat="1" ht="51.75" customHeight="1" x14ac:dyDescent="0.25">
      <c r="B20" s="8" t="s">
        <v>63</v>
      </c>
      <c r="C20" s="8" t="s">
        <v>30</v>
      </c>
      <c r="D20" s="8" t="s">
        <v>31</v>
      </c>
      <c r="E20" s="8" t="s">
        <v>32</v>
      </c>
      <c r="F20" s="8" t="s">
        <v>33</v>
      </c>
      <c r="G20" s="8" t="s">
        <v>220</v>
      </c>
      <c r="H20" s="10" t="s">
        <v>34</v>
      </c>
      <c r="I20" s="8" t="s">
        <v>35</v>
      </c>
      <c r="J20" s="8" t="s">
        <v>36</v>
      </c>
      <c r="K20" s="8" t="s">
        <v>37</v>
      </c>
      <c r="M20" s="8" t="s">
        <v>63</v>
      </c>
      <c r="N20" s="8" t="s">
        <v>38</v>
      </c>
      <c r="O20" s="8" t="s">
        <v>33</v>
      </c>
      <c r="P20" s="8" t="s">
        <v>39</v>
      </c>
      <c r="Q20" s="8" t="s">
        <v>40</v>
      </c>
      <c r="R20" s="8" t="s">
        <v>66</v>
      </c>
      <c r="S20" s="8" t="s">
        <v>36</v>
      </c>
      <c r="T20" s="8" t="s">
        <v>41</v>
      </c>
      <c r="U20" s="8" t="s">
        <v>43</v>
      </c>
      <c r="V20" s="8" t="s">
        <v>65</v>
      </c>
      <c r="W20" s="8" t="s">
        <v>44</v>
      </c>
      <c r="X20" s="8"/>
      <c r="Y20" s="75"/>
      <c r="Z20" s="8"/>
    </row>
    <row r="21" spans="2:32" x14ac:dyDescent="0.25">
      <c r="B21">
        <v>1</v>
      </c>
      <c r="C21" s="7">
        <f>B5</f>
        <v>1100</v>
      </c>
      <c r="D21" s="3">
        <v>0</v>
      </c>
      <c r="E21" s="7">
        <f>$B$6*C21</f>
        <v>825</v>
      </c>
      <c r="F21" s="3">
        <f t="shared" ref="F21:F40" si="0">-E21*$B$9</f>
        <v>-41.25</v>
      </c>
      <c r="G21" s="67">
        <f>SUM(D21:F21)</f>
        <v>783.75</v>
      </c>
      <c r="H21" s="7">
        <f>G21*'Q3 Base'!C29</f>
        <v>47.024999999999999</v>
      </c>
      <c r="I21" s="7">
        <f>SUM(D21:F21,H21)</f>
        <v>830.77499999999998</v>
      </c>
      <c r="J21" s="3">
        <f t="shared" ref="J21:J40" si="1">-I21*$B$10</f>
        <v>-4.1538750000000002</v>
      </c>
      <c r="K21" s="7">
        <f>I21+J21</f>
        <v>826.62112500000001</v>
      </c>
      <c r="M21">
        <v>1</v>
      </c>
      <c r="N21" s="67">
        <f>C21-E21</f>
        <v>275</v>
      </c>
      <c r="O21" s="7">
        <f>-F21</f>
        <v>41.25</v>
      </c>
      <c r="P21" s="3">
        <f>-B11</f>
        <v>-250</v>
      </c>
      <c r="Q21" s="3">
        <f t="shared" ref="Q21:Q40" si="2">-$B$13*C21</f>
        <v>-16.5</v>
      </c>
      <c r="R21" s="3">
        <f>SUM(N21:Q21)*$B$14</f>
        <v>1.4924999999999999</v>
      </c>
      <c r="S21" s="3">
        <f>-J21</f>
        <v>4.1538750000000002</v>
      </c>
      <c r="T21" s="18">
        <f>'Q3 Base'!F52</f>
        <v>3.9999999999999996E-4</v>
      </c>
      <c r="U21" s="7">
        <f>K21*T21</f>
        <v>0.33064844999999998</v>
      </c>
      <c r="V21" s="7">
        <v>0</v>
      </c>
      <c r="W21" s="3">
        <f t="shared" ref="W21:W40" si="3">N21+O21+P21+Q21+R21+S21-U21-V21</f>
        <v>55.065726550000001</v>
      </c>
      <c r="X21" s="7"/>
      <c r="Y21" s="76"/>
      <c r="Z21" s="7"/>
      <c r="AD21" s="7"/>
      <c r="AE21" s="7"/>
    </row>
    <row r="22" spans="2:32" x14ac:dyDescent="0.25">
      <c r="B22">
        <v>2</v>
      </c>
      <c r="C22" s="7">
        <f t="shared" ref="C22:C40" si="4">C21*(1+$D$5)</f>
        <v>1133</v>
      </c>
      <c r="D22" s="7">
        <f>K21</f>
        <v>826.62112500000001</v>
      </c>
      <c r="E22" s="7">
        <f t="shared" ref="E22:E27" si="5">$B$7*C22</f>
        <v>1166.99</v>
      </c>
      <c r="F22" s="3">
        <f t="shared" si="0"/>
        <v>-58.349500000000006</v>
      </c>
      <c r="G22" s="67">
        <f t="shared" ref="G22:G40" si="6">SUM(D22:F22)</f>
        <v>1935.2616249999999</v>
      </c>
      <c r="H22" s="7">
        <f>G22*'Q3 Base'!C30</f>
        <v>125.792005625</v>
      </c>
      <c r="I22" s="7">
        <f t="shared" ref="I22:I40" si="7">SUM(D22:F22,H22)</f>
        <v>2061.0536306249996</v>
      </c>
      <c r="J22" s="3">
        <f t="shared" si="1"/>
        <v>-10.305268153124999</v>
      </c>
      <c r="K22" s="7">
        <f t="shared" ref="K22:K40" si="8">I22+J22</f>
        <v>2050.7483624718748</v>
      </c>
      <c r="M22">
        <v>2</v>
      </c>
      <c r="N22" s="7">
        <f t="shared" ref="N22:N40" si="9">C22-E22</f>
        <v>-33.990000000000009</v>
      </c>
      <c r="O22" s="7">
        <f t="shared" ref="O22:O40" si="10">-F22</f>
        <v>58.349500000000006</v>
      </c>
      <c r="P22" s="3">
        <f t="shared" ref="P22:P40" si="11">-$B$12</f>
        <v>-50</v>
      </c>
      <c r="Q22" s="3">
        <f t="shared" si="2"/>
        <v>-16.995000000000001</v>
      </c>
      <c r="R22" s="3">
        <f t="shared" ref="R22:R40" si="12">SUM(N22:Q22)*$B$14</f>
        <v>-1.2790650000000001</v>
      </c>
      <c r="S22" s="3">
        <f t="shared" ref="S22:S40" si="13">-J22</f>
        <v>10.305268153124999</v>
      </c>
      <c r="T22">
        <f>'Q3 Base'!G53</f>
        <v>5.3699999999999993E-4</v>
      </c>
      <c r="U22" s="7">
        <f t="shared" ref="U22:U40" si="14">K22*T22</f>
        <v>1.1012518706473966</v>
      </c>
      <c r="V22" s="7">
        <v>0</v>
      </c>
      <c r="W22" s="3">
        <f>N22+O22+P22+Q22+R22+S22-U22-V22</f>
        <v>-34.710548717522407</v>
      </c>
      <c r="X22" s="7"/>
      <c r="Y22" s="76"/>
      <c r="Z22" s="7"/>
      <c r="AD22" s="7"/>
      <c r="AE22" s="7"/>
    </row>
    <row r="23" spans="2:32" x14ac:dyDescent="0.25">
      <c r="B23">
        <v>3</v>
      </c>
      <c r="C23" s="7">
        <f t="shared" si="4"/>
        <v>1166.99</v>
      </c>
      <c r="D23" s="7">
        <f t="shared" ref="D23:D40" si="15">K22</f>
        <v>2050.7483624718748</v>
      </c>
      <c r="E23" s="7">
        <f t="shared" si="5"/>
        <v>1201.9997000000001</v>
      </c>
      <c r="F23" s="3">
        <f t="shared" si="0"/>
        <v>-60.099985000000004</v>
      </c>
      <c r="G23" s="67">
        <f t="shared" si="6"/>
        <v>3192.6480774718748</v>
      </c>
      <c r="H23" s="7">
        <f>G23*'Q3 Base'!C31</f>
        <v>159.63240387359374</v>
      </c>
      <c r="I23" s="7">
        <f t="shared" si="7"/>
        <v>3352.2804813454686</v>
      </c>
      <c r="J23" s="3">
        <f t="shared" si="1"/>
        <v>-16.761402406727342</v>
      </c>
      <c r="K23" s="7">
        <f t="shared" si="8"/>
        <v>3335.5190789387411</v>
      </c>
      <c r="M23">
        <v>3</v>
      </c>
      <c r="N23" s="7">
        <f t="shared" si="9"/>
        <v>-35.009700000000066</v>
      </c>
      <c r="O23" s="7">
        <f t="shared" si="10"/>
        <v>60.099985000000004</v>
      </c>
      <c r="P23" s="3">
        <f t="shared" si="11"/>
        <v>-50</v>
      </c>
      <c r="Q23" s="3">
        <f t="shared" si="2"/>
        <v>-17.504850000000001</v>
      </c>
      <c r="R23" s="3">
        <f t="shared" si="12"/>
        <v>-1.2724369500000019</v>
      </c>
      <c r="S23" s="3">
        <f t="shared" si="13"/>
        <v>16.761402406727342</v>
      </c>
      <c r="T23">
        <f>'Q3 Base'!H54</f>
        <v>8.7799999999999998E-4</v>
      </c>
      <c r="U23" s="7">
        <f t="shared" si="14"/>
        <v>2.9285857513082147</v>
      </c>
      <c r="V23" s="7">
        <v>0</v>
      </c>
      <c r="W23" s="3">
        <f t="shared" si="3"/>
        <v>-29.85418529458094</v>
      </c>
      <c r="X23" s="7"/>
      <c r="Y23" s="76"/>
      <c r="Z23" s="7"/>
      <c r="AD23" s="7"/>
      <c r="AE23" s="7"/>
    </row>
    <row r="24" spans="2:32" x14ac:dyDescent="0.25">
      <c r="B24">
        <v>4</v>
      </c>
      <c r="C24" s="7">
        <f t="shared" si="4"/>
        <v>1201.9997000000001</v>
      </c>
      <c r="D24" s="7">
        <f t="shared" si="15"/>
        <v>3335.5190789387411</v>
      </c>
      <c r="E24" s="7">
        <f t="shared" si="5"/>
        <v>1238.0596910000002</v>
      </c>
      <c r="F24" s="3">
        <f t="shared" si="0"/>
        <v>-61.902984550000014</v>
      </c>
      <c r="G24" s="67">
        <f t="shared" si="6"/>
        <v>4511.6757853887411</v>
      </c>
      <c r="H24" s="7">
        <f>G24*'Q3 Base'!C32</f>
        <v>236.86297873290891</v>
      </c>
      <c r="I24" s="7">
        <f t="shared" si="7"/>
        <v>4748.5387641216503</v>
      </c>
      <c r="J24" s="3">
        <f t="shared" si="1"/>
        <v>-23.742693820608253</v>
      </c>
      <c r="K24" s="7">
        <f t="shared" si="8"/>
        <v>4724.7960703010422</v>
      </c>
      <c r="M24">
        <v>4</v>
      </c>
      <c r="N24" s="7">
        <f t="shared" si="9"/>
        <v>-36.059991000000082</v>
      </c>
      <c r="O24" s="7">
        <f t="shared" si="10"/>
        <v>61.902984550000014</v>
      </c>
      <c r="P24" s="3">
        <f t="shared" si="11"/>
        <v>-50</v>
      </c>
      <c r="Q24" s="3">
        <f t="shared" si="2"/>
        <v>-18.029995500000002</v>
      </c>
      <c r="R24" s="3">
        <f t="shared" si="12"/>
        <v>-1.2656100585000019</v>
      </c>
      <c r="S24" s="3">
        <f t="shared" si="13"/>
        <v>23.742693820608253</v>
      </c>
      <c r="T24">
        <f>'Q3 Base'!H55</f>
        <v>9.4600000000000001E-4</v>
      </c>
      <c r="U24" s="7">
        <f t="shared" si="14"/>
        <v>4.4696570825047859</v>
      </c>
      <c r="V24" s="7">
        <v>0</v>
      </c>
      <c r="W24" s="3">
        <f t="shared" si="3"/>
        <v>-24.179575270396601</v>
      </c>
      <c r="X24" s="7"/>
      <c r="Y24" s="76"/>
      <c r="Z24" s="7"/>
      <c r="AD24" s="7"/>
      <c r="AE24" s="7"/>
    </row>
    <row r="25" spans="2:32" x14ac:dyDescent="0.25">
      <c r="B25">
        <v>5</v>
      </c>
      <c r="C25" s="7">
        <f t="shared" si="4"/>
        <v>1238.0596910000002</v>
      </c>
      <c r="D25" s="7">
        <f t="shared" si="15"/>
        <v>4724.7960703010422</v>
      </c>
      <c r="E25" s="7">
        <f t="shared" si="5"/>
        <v>1275.2014817300003</v>
      </c>
      <c r="F25" s="3">
        <f t="shared" si="0"/>
        <v>-63.760074086500019</v>
      </c>
      <c r="G25" s="67">
        <f t="shared" si="6"/>
        <v>5936.2374779445427</v>
      </c>
      <c r="H25" s="7">
        <f>G25*'Q3 Base'!C33</f>
        <v>341.33365498181121</v>
      </c>
      <c r="I25" s="7">
        <f t="shared" si="7"/>
        <v>6277.571132926354</v>
      </c>
      <c r="J25" s="3">
        <f t="shared" si="1"/>
        <v>-31.387855664631772</v>
      </c>
      <c r="K25" s="7">
        <f t="shared" si="8"/>
        <v>6246.1832772617227</v>
      </c>
      <c r="M25">
        <v>5</v>
      </c>
      <c r="N25" s="7">
        <f t="shared" si="9"/>
        <v>-37.141790730000139</v>
      </c>
      <c r="O25" s="7">
        <f t="shared" si="10"/>
        <v>63.760074086500019</v>
      </c>
      <c r="P25" s="3">
        <f t="shared" si="11"/>
        <v>-50</v>
      </c>
      <c r="Q25" s="3">
        <f t="shared" si="2"/>
        <v>-18.570895365000002</v>
      </c>
      <c r="R25" s="3">
        <f t="shared" si="12"/>
        <v>-1.2585783602550038</v>
      </c>
      <c r="S25" s="3">
        <f t="shared" si="13"/>
        <v>31.387855664631772</v>
      </c>
      <c r="T25">
        <f>'Q3 Base'!H56</f>
        <v>1.0219999999999999E-3</v>
      </c>
      <c r="U25" s="7">
        <f t="shared" si="14"/>
        <v>6.3835993093614798</v>
      </c>
      <c r="V25" s="7">
        <v>0</v>
      </c>
      <c r="W25" s="3">
        <f t="shared" si="3"/>
        <v>-18.206934013484833</v>
      </c>
      <c r="X25" s="7"/>
      <c r="Y25" s="76"/>
      <c r="Z25" s="7"/>
      <c r="AD25" s="7"/>
      <c r="AE25" s="7"/>
    </row>
    <row r="26" spans="2:32" x14ac:dyDescent="0.25">
      <c r="B26">
        <v>6</v>
      </c>
      <c r="C26" s="7">
        <f t="shared" si="4"/>
        <v>1275.2014817300003</v>
      </c>
      <c r="D26" s="7">
        <f t="shared" si="15"/>
        <v>6246.1832772617227</v>
      </c>
      <c r="E26" s="7">
        <f t="shared" si="5"/>
        <v>1313.4575261819004</v>
      </c>
      <c r="F26" s="3">
        <f t="shared" si="0"/>
        <v>-65.672876309095031</v>
      </c>
      <c r="G26" s="67">
        <f t="shared" si="6"/>
        <v>7493.9679271345276</v>
      </c>
      <c r="H26" s="7">
        <f>G26*'Q3 Base'!C34</f>
        <v>449.63807562807165</v>
      </c>
      <c r="I26" s="7">
        <f t="shared" si="7"/>
        <v>7943.606002762599</v>
      </c>
      <c r="J26" s="3">
        <f t="shared" si="1"/>
        <v>-39.718030013812999</v>
      </c>
      <c r="K26" s="7">
        <f t="shared" si="8"/>
        <v>7903.8879727487856</v>
      </c>
      <c r="M26">
        <v>6</v>
      </c>
      <c r="N26" s="7">
        <f t="shared" si="9"/>
        <v>-38.256044451900152</v>
      </c>
      <c r="O26" s="7">
        <f t="shared" si="10"/>
        <v>65.672876309095031</v>
      </c>
      <c r="P26" s="3">
        <f t="shared" si="11"/>
        <v>-50</v>
      </c>
      <c r="Q26" s="3">
        <f t="shared" si="2"/>
        <v>-19.128022225950005</v>
      </c>
      <c r="R26" s="3">
        <f t="shared" si="12"/>
        <v>-1.2513357110626537</v>
      </c>
      <c r="S26" s="3">
        <f t="shared" si="13"/>
        <v>39.718030013812999</v>
      </c>
      <c r="T26">
        <f>'Q3 Base'!H57</f>
        <v>1.109E-3</v>
      </c>
      <c r="U26" s="7">
        <f t="shared" si="14"/>
        <v>8.7654117617784024</v>
      </c>
      <c r="V26" s="7">
        <v>0</v>
      </c>
      <c r="W26" s="3">
        <f t="shared" si="3"/>
        <v>-12.009907827783181</v>
      </c>
      <c r="X26" s="7"/>
      <c r="Z26" s="7"/>
      <c r="AD26" s="7"/>
      <c r="AE26" s="7"/>
    </row>
    <row r="27" spans="2:32" x14ac:dyDescent="0.25">
      <c r="B27">
        <v>7</v>
      </c>
      <c r="C27" s="7">
        <f t="shared" si="4"/>
        <v>1313.4575261819004</v>
      </c>
      <c r="D27" s="7">
        <f t="shared" si="15"/>
        <v>7903.8879727487856</v>
      </c>
      <c r="E27" s="7">
        <f t="shared" si="5"/>
        <v>1352.8612519673575</v>
      </c>
      <c r="F27" s="3">
        <f t="shared" si="0"/>
        <v>-67.643062598367877</v>
      </c>
      <c r="G27" s="67">
        <f t="shared" si="6"/>
        <v>9189.1061621177741</v>
      </c>
      <c r="H27" s="7">
        <f>G27*'Q3 Base'!C35</f>
        <v>643.23743134824429</v>
      </c>
      <c r="I27" s="7">
        <f t="shared" si="7"/>
        <v>9832.3435934660192</v>
      </c>
      <c r="J27" s="3">
        <f t="shared" si="1"/>
        <v>-49.161717967330098</v>
      </c>
      <c r="K27" s="7">
        <f t="shared" si="8"/>
        <v>9783.1818754986889</v>
      </c>
      <c r="M27">
        <v>7</v>
      </c>
      <c r="N27" s="7">
        <f t="shared" si="9"/>
        <v>-39.403725785457027</v>
      </c>
      <c r="O27" s="7">
        <f t="shared" si="10"/>
        <v>67.643062598367877</v>
      </c>
      <c r="P27" s="3">
        <f t="shared" si="11"/>
        <v>-50</v>
      </c>
      <c r="Q27" s="3">
        <f t="shared" si="2"/>
        <v>-19.701862892728506</v>
      </c>
      <c r="R27" s="3">
        <f t="shared" si="12"/>
        <v>-1.2438757823945297</v>
      </c>
      <c r="S27" s="3">
        <f t="shared" si="13"/>
        <v>49.161717967330098</v>
      </c>
      <c r="T27">
        <f>'Q3 Base'!H58</f>
        <v>1.2079999999999999E-3</v>
      </c>
      <c r="U27" s="7">
        <f t="shared" si="14"/>
        <v>11.818083705602415</v>
      </c>
      <c r="V27" s="7">
        <v>0</v>
      </c>
      <c r="W27" s="3">
        <f t="shared" si="3"/>
        <v>-5.3627676004845064</v>
      </c>
      <c r="X27" s="7"/>
      <c r="Y27" s="76"/>
      <c r="Z27" s="7"/>
      <c r="AD27" s="7"/>
      <c r="AE27" s="7"/>
    </row>
    <row r="28" spans="2:32" x14ac:dyDescent="0.25">
      <c r="B28">
        <v>8</v>
      </c>
      <c r="C28" s="7">
        <f t="shared" si="4"/>
        <v>1352.8612519673575</v>
      </c>
      <c r="D28" s="7">
        <f t="shared" si="15"/>
        <v>9783.1818754986889</v>
      </c>
      <c r="E28" s="7">
        <f t="shared" ref="E28:E40" si="16">$B$8*C28</f>
        <v>1285.2181893689894</v>
      </c>
      <c r="F28" s="3">
        <f t="shared" si="0"/>
        <v>-64.260909468449469</v>
      </c>
      <c r="G28" s="67">
        <f t="shared" si="6"/>
        <v>11004.139155399227</v>
      </c>
      <c r="H28" s="7">
        <f>G28*'Q3 Base'!C36</f>
        <v>825.31043665494201</v>
      </c>
      <c r="I28" s="7">
        <f t="shared" si="7"/>
        <v>11829.449592054169</v>
      </c>
      <c r="J28" s="3">
        <f t="shared" si="1"/>
        <v>-59.147247960270846</v>
      </c>
      <c r="K28" s="7">
        <f t="shared" si="8"/>
        <v>11770.302344093898</v>
      </c>
      <c r="M28">
        <v>8</v>
      </c>
      <c r="N28" s="7">
        <f t="shared" si="9"/>
        <v>67.643062598368033</v>
      </c>
      <c r="O28" s="7">
        <f t="shared" si="10"/>
        <v>64.260909468449469</v>
      </c>
      <c r="P28" s="3">
        <f t="shared" si="11"/>
        <v>-50</v>
      </c>
      <c r="Q28" s="3">
        <f t="shared" si="2"/>
        <v>-20.292918779510362</v>
      </c>
      <c r="R28" s="3">
        <f t="shared" si="12"/>
        <v>1.8483315986192146</v>
      </c>
      <c r="S28" s="3">
        <f t="shared" si="13"/>
        <v>59.147247960270846</v>
      </c>
      <c r="T28">
        <f>'Q3 Base'!H59</f>
        <v>1.32E-3</v>
      </c>
      <c r="U28" s="7">
        <f t="shared" si="14"/>
        <v>15.536799094203944</v>
      </c>
      <c r="V28" s="7">
        <v>0</v>
      </c>
      <c r="W28" s="3">
        <f t="shared" si="3"/>
        <v>107.06983375199327</v>
      </c>
      <c r="X28" s="7"/>
      <c r="Y28" s="76"/>
      <c r="Z28" s="7"/>
      <c r="AD28" s="7"/>
      <c r="AE28" s="7"/>
    </row>
    <row r="29" spans="2:32" x14ac:dyDescent="0.25">
      <c r="B29">
        <v>9</v>
      </c>
      <c r="C29" s="7">
        <f t="shared" si="4"/>
        <v>1393.4470895263782</v>
      </c>
      <c r="D29" s="7">
        <f t="shared" si="15"/>
        <v>11770.302344093898</v>
      </c>
      <c r="E29" s="7">
        <f t="shared" si="16"/>
        <v>1323.7747350500592</v>
      </c>
      <c r="F29" s="3">
        <f t="shared" si="0"/>
        <v>-66.188736752502962</v>
      </c>
      <c r="G29" s="67">
        <f t="shared" si="6"/>
        <v>13027.888342391454</v>
      </c>
      <c r="H29" s="7">
        <f>G29*'Q3 Base'!C37</f>
        <v>911.95218396740188</v>
      </c>
      <c r="I29" s="7">
        <f t="shared" si="7"/>
        <v>13939.840526358856</v>
      </c>
      <c r="J29" s="3">
        <f t="shared" si="1"/>
        <v>-69.699202631794279</v>
      </c>
      <c r="K29" s="7">
        <f t="shared" si="8"/>
        <v>13870.141323727061</v>
      </c>
      <c r="M29">
        <v>9</v>
      </c>
      <c r="N29" s="7">
        <f t="shared" si="9"/>
        <v>69.672354476319015</v>
      </c>
      <c r="O29" s="7">
        <f t="shared" si="10"/>
        <v>66.188736752502962</v>
      </c>
      <c r="P29" s="3">
        <f t="shared" si="11"/>
        <v>-50</v>
      </c>
      <c r="Q29" s="3">
        <f t="shared" si="2"/>
        <v>-20.901706342895672</v>
      </c>
      <c r="R29" s="3">
        <f t="shared" si="12"/>
        <v>1.9487815465777893</v>
      </c>
      <c r="S29" s="3">
        <f t="shared" si="13"/>
        <v>69.699202631794279</v>
      </c>
      <c r="T29">
        <f>'Q3 Base'!H60</f>
        <v>1.4469999999999999E-3</v>
      </c>
      <c r="U29" s="7">
        <f t="shared" si="14"/>
        <v>20.070094495433057</v>
      </c>
      <c r="V29" s="7">
        <v>0</v>
      </c>
      <c r="W29" s="3">
        <f t="shared" si="3"/>
        <v>116.53727456886533</v>
      </c>
      <c r="X29" s="7"/>
      <c r="Y29" s="7"/>
      <c r="Z29" s="7"/>
      <c r="AD29" s="7"/>
      <c r="AE29" s="7"/>
    </row>
    <row r="30" spans="2:32" x14ac:dyDescent="0.25">
      <c r="B30">
        <v>10</v>
      </c>
      <c r="C30" s="7">
        <f t="shared" si="4"/>
        <v>1435.2505022121695</v>
      </c>
      <c r="D30" s="7">
        <f t="shared" si="15"/>
        <v>13870.141323727061</v>
      </c>
      <c r="E30" s="7">
        <f t="shared" si="16"/>
        <v>1363.487977101561</v>
      </c>
      <c r="F30" s="3">
        <f t="shared" si="0"/>
        <v>-68.174398855078053</v>
      </c>
      <c r="G30" s="67">
        <f t="shared" si="6"/>
        <v>15165.454901973542</v>
      </c>
      <c r="H30" s="7">
        <f>G30*'Q3 Base'!C38</f>
        <v>1099.4954803930818</v>
      </c>
      <c r="I30" s="7">
        <f t="shared" si="7"/>
        <v>16264.950382366624</v>
      </c>
      <c r="J30" s="3">
        <f t="shared" si="1"/>
        <v>-81.324751911833118</v>
      </c>
      <c r="K30" s="7">
        <f t="shared" si="8"/>
        <v>16183.62563045479</v>
      </c>
      <c r="M30">
        <v>10</v>
      </c>
      <c r="N30" s="7">
        <f t="shared" si="9"/>
        <v>71.762525110608522</v>
      </c>
      <c r="O30" s="7">
        <f t="shared" si="10"/>
        <v>68.174398855078053</v>
      </c>
      <c r="P30" s="3">
        <f t="shared" si="11"/>
        <v>-50</v>
      </c>
      <c r="Q30" s="3">
        <f t="shared" si="2"/>
        <v>-21.528757533182542</v>
      </c>
      <c r="R30" s="3">
        <f t="shared" si="12"/>
        <v>2.0522449929751203</v>
      </c>
      <c r="S30" s="3">
        <f t="shared" si="13"/>
        <v>81.324751911833118</v>
      </c>
      <c r="T30">
        <f>'Q3 Base'!H61</f>
        <v>1.5919999999999999E-3</v>
      </c>
      <c r="U30" s="7">
        <f t="shared" si="14"/>
        <v>25.764332003684022</v>
      </c>
      <c r="V30" s="7">
        <v>0</v>
      </c>
      <c r="W30" s="3">
        <f t="shared" si="3"/>
        <v>126.02083133362825</v>
      </c>
      <c r="X30" s="7"/>
      <c r="Y30" s="7"/>
      <c r="Z30" s="7"/>
      <c r="AD30" s="7"/>
      <c r="AE30" s="7"/>
    </row>
    <row r="31" spans="2:32" x14ac:dyDescent="0.25">
      <c r="B31">
        <v>11</v>
      </c>
      <c r="C31" s="7">
        <f t="shared" si="4"/>
        <v>1478.3080172785346</v>
      </c>
      <c r="D31" s="7">
        <f t="shared" si="15"/>
        <v>16183.62563045479</v>
      </c>
      <c r="E31" s="7">
        <f t="shared" si="16"/>
        <v>1404.3926164146078</v>
      </c>
      <c r="F31" s="3">
        <f t="shared" si="0"/>
        <v>-70.219630820730387</v>
      </c>
      <c r="G31" s="67">
        <f t="shared" si="6"/>
        <v>17517.798616048665</v>
      </c>
      <c r="H31" s="7">
        <f>G31*'Q3 Base'!C39</f>
        <v>1278.7992989715524</v>
      </c>
      <c r="I31" s="7">
        <f t="shared" si="7"/>
        <v>18796.597915020218</v>
      </c>
      <c r="J31" s="3">
        <f t="shared" si="1"/>
        <v>-93.982989575101087</v>
      </c>
      <c r="K31" s="7">
        <f t="shared" si="8"/>
        <v>18702.614925445116</v>
      </c>
      <c r="M31">
        <v>11</v>
      </c>
      <c r="N31" s="7">
        <f t="shared" si="9"/>
        <v>73.915400863926834</v>
      </c>
      <c r="O31" s="7">
        <f t="shared" si="10"/>
        <v>70.219630820730387</v>
      </c>
      <c r="P31" s="3">
        <f t="shared" si="11"/>
        <v>-50</v>
      </c>
      <c r="Q31" s="3">
        <f t="shared" si="2"/>
        <v>-22.17462025917802</v>
      </c>
      <c r="R31" s="3">
        <f t="shared" si="12"/>
        <v>2.1588123427643762</v>
      </c>
      <c r="S31" s="3">
        <f t="shared" si="13"/>
        <v>93.982989575101087</v>
      </c>
      <c r="T31">
        <f>'Q3 Base'!H62</f>
        <v>1.7549999999999998E-3</v>
      </c>
      <c r="U31" s="7">
        <f t="shared" si="14"/>
        <v>32.823089194156175</v>
      </c>
      <c r="V31" s="7">
        <v>0</v>
      </c>
      <c r="W31" s="3">
        <f t="shared" si="3"/>
        <v>135.27912414918848</v>
      </c>
      <c r="X31" s="7"/>
      <c r="Y31" s="7"/>
      <c r="Z31" s="7"/>
      <c r="AD31" s="7"/>
      <c r="AE31" s="7"/>
    </row>
    <row r="32" spans="2:32" x14ac:dyDescent="0.25">
      <c r="B32">
        <v>12</v>
      </c>
      <c r="C32" s="7">
        <f t="shared" si="4"/>
        <v>1522.6572577968907</v>
      </c>
      <c r="D32" s="7">
        <f t="shared" si="15"/>
        <v>18702.614925445116</v>
      </c>
      <c r="E32" s="7">
        <f t="shared" si="16"/>
        <v>1446.5243949070461</v>
      </c>
      <c r="F32" s="3">
        <f t="shared" si="0"/>
        <v>-72.326219745352304</v>
      </c>
      <c r="G32" s="67">
        <f t="shared" si="6"/>
        <v>20076.813100606811</v>
      </c>
      <c r="H32" s="7">
        <f>G32*'Q3 Base'!C40</f>
        <v>1475.6457628946005</v>
      </c>
      <c r="I32" s="7">
        <f t="shared" si="7"/>
        <v>21552.458863501412</v>
      </c>
      <c r="J32" s="3">
        <f t="shared" si="1"/>
        <v>-107.76229431750706</v>
      </c>
      <c r="K32" s="7">
        <f t="shared" si="8"/>
        <v>21444.696569183903</v>
      </c>
      <c r="M32">
        <v>12</v>
      </c>
      <c r="N32" s="7">
        <f t="shared" si="9"/>
        <v>76.132862889844546</v>
      </c>
      <c r="O32" s="7">
        <f t="shared" si="10"/>
        <v>72.326219745352304</v>
      </c>
      <c r="P32" s="3">
        <f t="shared" si="11"/>
        <v>-50</v>
      </c>
      <c r="Q32" s="3">
        <f t="shared" si="2"/>
        <v>-22.83985886695336</v>
      </c>
      <c r="R32" s="3">
        <f t="shared" si="12"/>
        <v>2.2685767130473051</v>
      </c>
      <c r="S32" s="3">
        <f t="shared" si="13"/>
        <v>107.76229431750706</v>
      </c>
      <c r="T32">
        <f>'Q3 Base'!H63</f>
        <v>1.9399999999999999E-3</v>
      </c>
      <c r="U32" s="7">
        <f t="shared" si="14"/>
        <v>41.602711344216772</v>
      </c>
      <c r="V32" s="7">
        <v>0</v>
      </c>
      <c r="W32" s="3">
        <f t="shared" si="3"/>
        <v>144.04738345458108</v>
      </c>
      <c r="X32" s="7"/>
      <c r="Y32" s="7"/>
      <c r="Z32" s="7"/>
      <c r="AD32" s="7"/>
      <c r="AE32" s="7"/>
    </row>
    <row r="33" spans="2:31" x14ac:dyDescent="0.25">
      <c r="B33">
        <v>13</v>
      </c>
      <c r="C33" s="7">
        <f t="shared" si="4"/>
        <v>1568.3369755307974</v>
      </c>
      <c r="D33" s="7">
        <f t="shared" si="15"/>
        <v>21444.696569183903</v>
      </c>
      <c r="E33" s="7">
        <f t="shared" si="16"/>
        <v>1489.9201267542576</v>
      </c>
      <c r="F33" s="3">
        <f t="shared" si="0"/>
        <v>-74.496006337712885</v>
      </c>
      <c r="G33" s="67">
        <f t="shared" si="6"/>
        <v>22860.120689600448</v>
      </c>
      <c r="H33" s="7">
        <f>G33*'Q3 Base'!C41</f>
        <v>1691.648931030433</v>
      </c>
      <c r="I33" s="7">
        <f t="shared" si="7"/>
        <v>24551.769620630879</v>
      </c>
      <c r="J33" s="3">
        <f t="shared" si="1"/>
        <v>-122.75884810315439</v>
      </c>
      <c r="K33" s="7">
        <f t="shared" si="8"/>
        <v>24429.010772527723</v>
      </c>
      <c r="M33">
        <v>13</v>
      </c>
      <c r="N33" s="7">
        <f t="shared" si="9"/>
        <v>78.416848776539837</v>
      </c>
      <c r="O33" s="7">
        <f t="shared" si="10"/>
        <v>74.496006337712885</v>
      </c>
      <c r="P33" s="3">
        <f t="shared" si="11"/>
        <v>-50</v>
      </c>
      <c r="Q33" s="3">
        <f t="shared" si="2"/>
        <v>-23.525054632961961</v>
      </c>
      <c r="R33" s="3">
        <f t="shared" si="12"/>
        <v>2.3816340144387227</v>
      </c>
      <c r="S33" s="3">
        <f t="shared" si="13"/>
        <v>122.75884810315439</v>
      </c>
      <c r="T33">
        <f>'Q3 Base'!H64</f>
        <v>2.1509999999999997E-3</v>
      </c>
      <c r="U33" s="7">
        <f t="shared" si="14"/>
        <v>52.546802171707128</v>
      </c>
      <c r="V33" s="7">
        <v>0</v>
      </c>
      <c r="W33" s="3">
        <f t="shared" si="3"/>
        <v>151.98148042717673</v>
      </c>
      <c r="X33" s="7"/>
      <c r="Y33" s="7"/>
      <c r="Z33" s="7"/>
      <c r="AD33" s="7"/>
      <c r="AE33" s="7"/>
    </row>
    <row r="34" spans="2:31" x14ac:dyDescent="0.25">
      <c r="B34">
        <v>14</v>
      </c>
      <c r="C34" s="7">
        <f t="shared" si="4"/>
        <v>1615.3870847967214</v>
      </c>
      <c r="D34" s="7">
        <f t="shared" si="15"/>
        <v>24429.010772527723</v>
      </c>
      <c r="E34" s="7">
        <f t="shared" si="16"/>
        <v>1534.6177305568854</v>
      </c>
      <c r="F34" s="3">
        <f t="shared" si="0"/>
        <v>-76.730886527844277</v>
      </c>
      <c r="G34" s="67">
        <f t="shared" si="6"/>
        <v>25886.897616556766</v>
      </c>
      <c r="H34" s="7">
        <f>G34*'Q3 Base'!C42</f>
        <v>1928.573872433479</v>
      </c>
      <c r="I34" s="7">
        <f t="shared" si="7"/>
        <v>27815.471488990246</v>
      </c>
      <c r="J34" s="3">
        <f t="shared" si="1"/>
        <v>-139.07735744495125</v>
      </c>
      <c r="K34" s="7">
        <f t="shared" si="8"/>
        <v>27676.394131545294</v>
      </c>
      <c r="M34">
        <v>14</v>
      </c>
      <c r="N34" s="7">
        <f t="shared" si="9"/>
        <v>80.769354239836048</v>
      </c>
      <c r="O34" s="7">
        <f t="shared" si="10"/>
        <v>76.730886527844277</v>
      </c>
      <c r="P34" s="3">
        <f t="shared" si="11"/>
        <v>-50</v>
      </c>
      <c r="Q34" s="3">
        <f t="shared" si="2"/>
        <v>-24.230806271950819</v>
      </c>
      <c r="R34" s="3">
        <f t="shared" si="12"/>
        <v>2.4980830348718852</v>
      </c>
      <c r="S34" s="3">
        <f t="shared" si="13"/>
        <v>139.07735744495125</v>
      </c>
      <c r="T34">
        <f>'Q3 Base'!H65</f>
        <v>2.3890000000000001E-3</v>
      </c>
      <c r="U34" s="7">
        <f t="shared" si="14"/>
        <v>66.11890558026171</v>
      </c>
      <c r="V34" s="7">
        <v>0</v>
      </c>
      <c r="W34" s="3">
        <f t="shared" si="3"/>
        <v>158.72596939529092</v>
      </c>
      <c r="X34" s="7"/>
      <c r="Y34" s="7"/>
      <c r="Z34" s="7"/>
      <c r="AD34" s="7"/>
      <c r="AE34" s="7"/>
    </row>
    <row r="35" spans="2:31" x14ac:dyDescent="0.25">
      <c r="B35">
        <v>15</v>
      </c>
      <c r="C35" s="7">
        <f t="shared" si="4"/>
        <v>1663.8486973406232</v>
      </c>
      <c r="D35" s="7">
        <f t="shared" si="15"/>
        <v>27676.394131545294</v>
      </c>
      <c r="E35" s="7">
        <f t="shared" si="16"/>
        <v>1580.6562624735921</v>
      </c>
      <c r="F35" s="3">
        <f t="shared" si="0"/>
        <v>-79.032813123679603</v>
      </c>
      <c r="G35" s="67">
        <f t="shared" si="6"/>
        <v>29178.017580895208</v>
      </c>
      <c r="H35" s="7">
        <f>G35*'Q3 Base'!C43</f>
        <v>2188.3513185671404</v>
      </c>
      <c r="I35" s="7">
        <f t="shared" si="7"/>
        <v>31366.368899462348</v>
      </c>
      <c r="J35" s="3">
        <f t="shared" si="1"/>
        <v>-156.83184449731175</v>
      </c>
      <c r="K35" s="7">
        <f t="shared" si="8"/>
        <v>31209.537054965036</v>
      </c>
      <c r="M35">
        <v>15</v>
      </c>
      <c r="N35" s="7">
        <f t="shared" si="9"/>
        <v>83.192434867031125</v>
      </c>
      <c r="O35" s="7">
        <f t="shared" si="10"/>
        <v>79.032813123679603</v>
      </c>
      <c r="P35" s="3">
        <f t="shared" si="11"/>
        <v>-50</v>
      </c>
      <c r="Q35" s="3">
        <f t="shared" si="2"/>
        <v>-24.957730460109346</v>
      </c>
      <c r="R35" s="3">
        <f t="shared" si="12"/>
        <v>2.6180255259180414</v>
      </c>
      <c r="S35" s="3">
        <f t="shared" si="13"/>
        <v>156.83184449731175</v>
      </c>
      <c r="T35">
        <f>'Q3 Base'!H66</f>
        <v>2.66E-3</v>
      </c>
      <c r="U35" s="7">
        <f t="shared" si="14"/>
        <v>83.017368566206997</v>
      </c>
      <c r="V35" s="7">
        <v>0</v>
      </c>
      <c r="W35" s="3">
        <f t="shared" si="3"/>
        <v>163.70001898762416</v>
      </c>
      <c r="X35" s="7"/>
      <c r="Y35" s="7"/>
      <c r="Z35" s="7"/>
      <c r="AD35" s="7"/>
      <c r="AE35" s="7"/>
    </row>
    <row r="36" spans="2:31" x14ac:dyDescent="0.25">
      <c r="B36">
        <v>16</v>
      </c>
      <c r="C36" s="7">
        <f t="shared" si="4"/>
        <v>1713.7641582608419</v>
      </c>
      <c r="D36" s="7">
        <f t="shared" si="15"/>
        <v>31209.537054965036</v>
      </c>
      <c r="E36" s="7">
        <f t="shared" si="16"/>
        <v>1628.0759503477998</v>
      </c>
      <c r="F36" s="3">
        <f t="shared" si="0"/>
        <v>-81.403797517389989</v>
      </c>
      <c r="G36" s="67">
        <f t="shared" si="6"/>
        <v>32756.209207795448</v>
      </c>
      <c r="H36" s="7">
        <f>G36*'Q3 Base'!C44</f>
        <v>2473.0937951885562</v>
      </c>
      <c r="I36" s="7">
        <f t="shared" si="7"/>
        <v>35229.303002984001</v>
      </c>
      <c r="J36" s="3">
        <f t="shared" si="1"/>
        <v>-176.14651501492</v>
      </c>
      <c r="K36" s="7">
        <f t="shared" si="8"/>
        <v>35053.156487969078</v>
      </c>
      <c r="M36">
        <v>16</v>
      </c>
      <c r="N36" s="7">
        <f t="shared" si="9"/>
        <v>85.688207913042106</v>
      </c>
      <c r="O36" s="7">
        <f t="shared" si="10"/>
        <v>81.403797517389989</v>
      </c>
      <c r="P36" s="3">
        <f t="shared" si="11"/>
        <v>-50</v>
      </c>
      <c r="Q36" s="3">
        <f t="shared" si="2"/>
        <v>-25.706462373912629</v>
      </c>
      <c r="R36" s="3">
        <f t="shared" si="12"/>
        <v>2.7415662916955839</v>
      </c>
      <c r="S36" s="3">
        <f t="shared" si="13"/>
        <v>176.14651501492</v>
      </c>
      <c r="T36">
        <f>'Q3 Base'!H67</f>
        <v>2.967E-3</v>
      </c>
      <c r="U36" s="7">
        <f t="shared" si="14"/>
        <v>104.00271529980425</v>
      </c>
      <c r="V36" s="7">
        <v>0</v>
      </c>
      <c r="W36" s="3">
        <f t="shared" si="3"/>
        <v>166.27090906333075</v>
      </c>
      <c r="X36" s="7"/>
      <c r="Y36" s="7"/>
      <c r="Z36" s="7"/>
      <c r="AD36" s="7"/>
      <c r="AE36" s="7"/>
    </row>
    <row r="37" spans="2:31" x14ac:dyDescent="0.25">
      <c r="B37">
        <v>17</v>
      </c>
      <c r="C37" s="7">
        <f t="shared" si="4"/>
        <v>1765.1770830086673</v>
      </c>
      <c r="D37" s="7">
        <f t="shared" si="15"/>
        <v>35053.156487969078</v>
      </c>
      <c r="E37" s="7">
        <f t="shared" si="16"/>
        <v>1676.9182288582338</v>
      </c>
      <c r="F37" s="3">
        <f t="shared" si="0"/>
        <v>-83.845911442911699</v>
      </c>
      <c r="G37" s="67">
        <f t="shared" si="6"/>
        <v>36646.228805384395</v>
      </c>
      <c r="H37" s="7">
        <f>G37*'Q3 Base'!C45</f>
        <v>2785.1133892092139</v>
      </c>
      <c r="I37" s="7">
        <f t="shared" si="7"/>
        <v>39431.342194593606</v>
      </c>
      <c r="J37" s="3">
        <f t="shared" si="1"/>
        <v>-197.15671097296803</v>
      </c>
      <c r="K37" s="7">
        <f t="shared" si="8"/>
        <v>39234.18548362064</v>
      </c>
      <c r="M37">
        <v>17</v>
      </c>
      <c r="N37" s="7">
        <f t="shared" si="9"/>
        <v>88.258854150433535</v>
      </c>
      <c r="O37" s="7">
        <f t="shared" si="10"/>
        <v>83.845911442911699</v>
      </c>
      <c r="P37" s="3">
        <f t="shared" si="11"/>
        <v>-50</v>
      </c>
      <c r="Q37" s="3">
        <f t="shared" si="2"/>
        <v>-26.47765624513001</v>
      </c>
      <c r="R37" s="3">
        <f t="shared" si="12"/>
        <v>2.8688132804464566</v>
      </c>
      <c r="S37" s="3">
        <f t="shared" si="13"/>
        <v>197.15671097296803</v>
      </c>
      <c r="T37">
        <f>'Q3 Base'!H68</f>
        <v>3.3139999999999997E-3</v>
      </c>
      <c r="U37" s="7">
        <f t="shared" si="14"/>
        <v>130.02209069271879</v>
      </c>
      <c r="V37" s="7">
        <v>0</v>
      </c>
      <c r="W37" s="3">
        <f t="shared" si="3"/>
        <v>165.63054290891091</v>
      </c>
      <c r="X37" s="7"/>
      <c r="Y37" s="7"/>
      <c r="Z37" s="7"/>
      <c r="AD37" s="7"/>
      <c r="AE37" s="7"/>
    </row>
    <row r="38" spans="2:31" x14ac:dyDescent="0.25">
      <c r="B38">
        <v>18</v>
      </c>
      <c r="C38" s="7">
        <f t="shared" si="4"/>
        <v>1818.1323954989273</v>
      </c>
      <c r="D38" s="7">
        <f t="shared" si="15"/>
        <v>39234.18548362064</v>
      </c>
      <c r="E38" s="7">
        <f t="shared" si="16"/>
        <v>1727.2257757239809</v>
      </c>
      <c r="F38" s="3">
        <f t="shared" si="0"/>
        <v>-86.361288786199054</v>
      </c>
      <c r="G38" s="67">
        <f t="shared" si="6"/>
        <v>40875.049970558423</v>
      </c>
      <c r="H38" s="7">
        <f>G38*'Q3 Base'!C46</f>
        <v>3126.9413227477194</v>
      </c>
      <c r="I38" s="7">
        <f t="shared" si="7"/>
        <v>44001.991293306142</v>
      </c>
      <c r="J38" s="3">
        <f t="shared" si="1"/>
        <v>-220.00995646653072</v>
      </c>
      <c r="K38" s="7">
        <f t="shared" si="8"/>
        <v>43781.981336839614</v>
      </c>
      <c r="M38">
        <v>18</v>
      </c>
      <c r="N38" s="7">
        <f t="shared" si="9"/>
        <v>90.906619774946421</v>
      </c>
      <c r="O38" s="7">
        <f t="shared" si="10"/>
        <v>86.361288786199054</v>
      </c>
      <c r="P38" s="3">
        <f t="shared" si="11"/>
        <v>-50</v>
      </c>
      <c r="Q38" s="3">
        <f t="shared" si="2"/>
        <v>-27.271985932483908</v>
      </c>
      <c r="R38" s="3">
        <f t="shared" si="12"/>
        <v>2.9998776788598467</v>
      </c>
      <c r="S38" s="3">
        <f t="shared" si="13"/>
        <v>220.00995646653072</v>
      </c>
      <c r="T38">
        <f>'Q3 Base'!H69</f>
        <v>3.7079999999999999E-3</v>
      </c>
      <c r="U38" s="7">
        <f t="shared" si="14"/>
        <v>162.34358679700128</v>
      </c>
      <c r="V38" s="7">
        <v>0</v>
      </c>
      <c r="W38" s="3">
        <f t="shared" si="3"/>
        <v>160.66216997705087</v>
      </c>
      <c r="X38" s="7"/>
      <c r="Y38" s="7"/>
      <c r="Z38" s="7"/>
      <c r="AD38" s="7"/>
      <c r="AE38" s="7"/>
    </row>
    <row r="39" spans="2:31" x14ac:dyDescent="0.25">
      <c r="B39">
        <v>19</v>
      </c>
      <c r="C39" s="7">
        <f t="shared" si="4"/>
        <v>1872.6763673638952</v>
      </c>
      <c r="D39" s="7">
        <f t="shared" si="15"/>
        <v>43781.981336839614</v>
      </c>
      <c r="E39" s="7">
        <f t="shared" si="16"/>
        <v>1779.0425489957004</v>
      </c>
      <c r="F39" s="3">
        <f t="shared" si="0"/>
        <v>-88.952127449785024</v>
      </c>
      <c r="G39" s="67">
        <f t="shared" si="6"/>
        <v>45472.071758385529</v>
      </c>
      <c r="H39" s="7">
        <f>G39*'Q3 Base'!C47</f>
        <v>3501.3495253956858</v>
      </c>
      <c r="I39" s="7">
        <f t="shared" si="7"/>
        <v>48973.421283781216</v>
      </c>
      <c r="J39" s="3">
        <f t="shared" si="1"/>
        <v>-244.86710641890608</v>
      </c>
      <c r="K39" s="7">
        <f t="shared" si="8"/>
        <v>48728.554177362312</v>
      </c>
      <c r="M39">
        <v>19</v>
      </c>
      <c r="N39" s="7">
        <f t="shared" si="9"/>
        <v>93.633818368194852</v>
      </c>
      <c r="O39" s="7">
        <f t="shared" si="10"/>
        <v>88.952127449785024</v>
      </c>
      <c r="P39" s="3">
        <f t="shared" si="11"/>
        <v>-50</v>
      </c>
      <c r="Q39" s="3">
        <f t="shared" si="2"/>
        <v>-28.090145510458427</v>
      </c>
      <c r="R39" s="3">
        <f t="shared" si="12"/>
        <v>3.1348740092256433</v>
      </c>
      <c r="S39" s="3">
        <f t="shared" si="13"/>
        <v>244.86710641890608</v>
      </c>
      <c r="T39">
        <f>'Q3 Base'!H70</f>
        <v>4.156E-3</v>
      </c>
      <c r="U39" s="7">
        <f t="shared" si="14"/>
        <v>202.51587116111776</v>
      </c>
      <c r="V39" s="7">
        <v>0</v>
      </c>
      <c r="W39" s="3">
        <f t="shared" si="3"/>
        <v>149.98190957453542</v>
      </c>
      <c r="X39" s="7"/>
      <c r="Y39" s="7"/>
      <c r="Z39" s="7"/>
      <c r="AD39" s="7"/>
      <c r="AE39" s="7"/>
    </row>
    <row r="40" spans="2:31" x14ac:dyDescent="0.25">
      <c r="B40">
        <v>20</v>
      </c>
      <c r="C40" s="7">
        <f t="shared" si="4"/>
        <v>1928.8566583848121</v>
      </c>
      <c r="D40" s="7">
        <f t="shared" si="15"/>
        <v>48728.554177362312</v>
      </c>
      <c r="E40" s="7">
        <f t="shared" si="16"/>
        <v>1832.4138254655713</v>
      </c>
      <c r="F40" s="3">
        <f t="shared" si="0"/>
        <v>-91.620691273278567</v>
      </c>
      <c r="G40" s="67">
        <f t="shared" si="6"/>
        <v>50469.3473115546</v>
      </c>
      <c r="H40" s="7">
        <f>G40*'Q3 Base'!C48</f>
        <v>3911.3744166454817</v>
      </c>
      <c r="I40" s="7">
        <f t="shared" si="7"/>
        <v>54380.721728200078</v>
      </c>
      <c r="J40" s="3">
        <f t="shared" si="1"/>
        <v>-271.9036086410004</v>
      </c>
      <c r="K40" s="7">
        <f t="shared" si="8"/>
        <v>54108.818119559081</v>
      </c>
      <c r="M40">
        <v>20</v>
      </c>
      <c r="N40" s="7">
        <f t="shared" si="9"/>
        <v>96.4428329192408</v>
      </c>
      <c r="O40" s="7">
        <f t="shared" si="10"/>
        <v>91.620691273278567</v>
      </c>
      <c r="P40" s="3">
        <f t="shared" si="11"/>
        <v>-50</v>
      </c>
      <c r="Q40" s="3">
        <f t="shared" si="2"/>
        <v>-28.932849875772181</v>
      </c>
      <c r="R40" s="3">
        <f t="shared" si="12"/>
        <v>3.2739202295024157</v>
      </c>
      <c r="S40" s="3">
        <f t="shared" si="13"/>
        <v>271.9036086410004</v>
      </c>
      <c r="T40">
        <f>'Q3 Base'!H71</f>
        <v>4.6619999999999995E-3</v>
      </c>
      <c r="U40" s="7">
        <f t="shared" si="14"/>
        <v>252.25531007338441</v>
      </c>
      <c r="V40" s="7">
        <v>0</v>
      </c>
      <c r="W40" s="3">
        <f t="shared" si="3"/>
        <v>132.05289311386559</v>
      </c>
      <c r="X40" s="7"/>
      <c r="Y40" s="7"/>
      <c r="Z40" s="7"/>
      <c r="AD40" s="7"/>
      <c r="AE40" s="7"/>
    </row>
    <row r="41" spans="2:31" x14ac:dyDescent="0.25">
      <c r="Z41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FA7B0-E5A2-4540-95DD-5988F78C1B37}">
  <dimension ref="A1:AA34"/>
  <sheetViews>
    <sheetView workbookViewId="0"/>
  </sheetViews>
  <sheetFormatPr defaultRowHeight="15" x14ac:dyDescent="0.25"/>
  <cols>
    <col min="1" max="1" width="26.140625" customWidth="1"/>
    <col min="2" max="2" width="10.140625" bestFit="1" customWidth="1"/>
    <col min="3" max="3" width="11.85546875" customWidth="1"/>
    <col min="4" max="4" width="13" customWidth="1"/>
    <col min="5" max="6" width="11.85546875" customWidth="1"/>
    <col min="7" max="8" width="13.85546875" customWidth="1"/>
    <col min="9" max="9" width="14.7109375" customWidth="1"/>
    <col min="12" max="12" width="12" customWidth="1"/>
    <col min="14" max="14" width="9.5703125" customWidth="1"/>
    <col min="15" max="15" width="12.140625" customWidth="1"/>
    <col min="16" max="16" width="10.42578125" customWidth="1"/>
    <col min="17" max="17" width="12.140625" customWidth="1"/>
    <col min="20" max="20" width="14.42578125" customWidth="1"/>
    <col min="21" max="21" width="10.28515625" customWidth="1"/>
    <col min="22" max="22" width="10.85546875" customWidth="1"/>
    <col min="27" max="27" width="10.42578125" customWidth="1"/>
  </cols>
  <sheetData>
    <row r="1" spans="1:27" x14ac:dyDescent="0.25">
      <c r="A1" s="14" t="s">
        <v>95</v>
      </c>
      <c r="B1" s="21">
        <v>0.03</v>
      </c>
      <c r="C1" t="s">
        <v>51</v>
      </c>
      <c r="E1" s="48" t="s">
        <v>7</v>
      </c>
      <c r="F1" s="48" t="s">
        <v>69</v>
      </c>
      <c r="G1" s="48" t="s">
        <v>8</v>
      </c>
      <c r="H1" s="48"/>
    </row>
    <row r="2" spans="1:27" x14ac:dyDescent="0.25">
      <c r="A2" s="77"/>
      <c r="F2" s="9" t="s">
        <v>67</v>
      </c>
      <c r="G2" s="9" t="s">
        <v>68</v>
      </c>
    </row>
    <row r="3" spans="1:27" ht="45" x14ac:dyDescent="0.25">
      <c r="A3" s="77"/>
      <c r="B3" s="4" t="s">
        <v>29</v>
      </c>
      <c r="C3" s="8" t="s">
        <v>45</v>
      </c>
      <c r="D3" s="8" t="s">
        <v>44</v>
      </c>
      <c r="E3" s="8" t="s">
        <v>42</v>
      </c>
      <c r="F3" s="8" t="s">
        <v>96</v>
      </c>
      <c r="G3" s="8" t="s">
        <v>46</v>
      </c>
      <c r="H3" s="17"/>
      <c r="I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spans="1:27" x14ac:dyDescent="0.25">
      <c r="A4" s="77"/>
      <c r="B4">
        <v>1</v>
      </c>
      <c r="C4" s="9">
        <v>40</v>
      </c>
      <c r="D4" s="3">
        <f>'Q3 (i)'!W21</f>
        <v>55.065726550000001</v>
      </c>
      <c r="E4" s="18">
        <f>1-'Q3 (i)'!T21</f>
        <v>0.99960000000000004</v>
      </c>
      <c r="F4" s="3">
        <f>MAX((F5*E5-D5)/(1+$B$1),0)</f>
        <v>114.85572395547675</v>
      </c>
      <c r="G4" s="3">
        <f>D4-F4*E4</f>
        <v>-59.744055115894561</v>
      </c>
      <c r="H4" s="3"/>
      <c r="I4" s="15"/>
      <c r="L4" s="7"/>
      <c r="M4" s="7"/>
      <c r="N4" s="7"/>
      <c r="O4" s="7"/>
      <c r="P4" s="7"/>
      <c r="Q4" s="3"/>
      <c r="R4" s="18"/>
      <c r="T4" s="7"/>
      <c r="U4" s="7"/>
      <c r="V4" s="7"/>
      <c r="Z4" s="7"/>
      <c r="AA4" s="7"/>
    </row>
    <row r="5" spans="1:27" x14ac:dyDescent="0.25">
      <c r="A5" s="77"/>
      <c r="B5">
        <v>2</v>
      </c>
      <c r="C5" s="9">
        <v>41</v>
      </c>
      <c r="D5" s="3">
        <f>'Q3 (i)'!W22</f>
        <v>-34.710548717522407</v>
      </c>
      <c r="E5" s="18">
        <f>1-'Q3 (i)'!T22</f>
        <v>0.99946299999999999</v>
      </c>
      <c r="F5" s="3">
        <f>MAX((F6*E6-D6)/(1+$B$1),0)</f>
        <v>83.63575935939464</v>
      </c>
      <c r="G5" s="3">
        <f>F4*(1+$B$1)+D5-E5*F5</f>
        <v>0</v>
      </c>
      <c r="H5" s="3"/>
      <c r="I5" s="15"/>
      <c r="L5" s="7"/>
      <c r="M5" s="7"/>
      <c r="N5" s="7"/>
      <c r="O5" s="7"/>
      <c r="P5" s="7"/>
      <c r="Q5" s="3"/>
      <c r="T5" s="7"/>
      <c r="U5" s="7"/>
      <c r="V5" s="7"/>
      <c r="Z5" s="7"/>
      <c r="AA5" s="7"/>
    </row>
    <row r="6" spans="1:27" x14ac:dyDescent="0.25">
      <c r="A6" s="77"/>
      <c r="B6">
        <v>3</v>
      </c>
      <c r="C6" s="9">
        <v>42</v>
      </c>
      <c r="D6" s="3">
        <f>'Q3 (i)'!W23</f>
        <v>-29.85418529458094</v>
      </c>
      <c r="E6" s="18">
        <f>1-'Q3 (i)'!T23</f>
        <v>0.99912199999999995</v>
      </c>
      <c r="F6" s="3">
        <f t="shared" ref="F6:F23" si="0">MAX((F7*E7-D7)/(1+$B$1),0)</f>
        <v>56.340113465217996</v>
      </c>
      <c r="G6" s="3">
        <f t="shared" ref="G6:G23" si="1">F5*(1+$B$1)+D6-E6*F6</f>
        <v>0</v>
      </c>
      <c r="H6" s="3"/>
      <c r="I6" s="15"/>
      <c r="L6" s="7"/>
      <c r="M6" s="7"/>
      <c r="N6" s="7"/>
      <c r="O6" s="7"/>
      <c r="P6" s="7"/>
      <c r="Q6" s="3"/>
      <c r="T6" s="7"/>
      <c r="U6" s="7"/>
      <c r="V6" s="7"/>
      <c r="Z6" s="7"/>
      <c r="AA6" s="7"/>
    </row>
    <row r="7" spans="1:27" x14ac:dyDescent="0.25">
      <c r="A7" s="77"/>
      <c r="B7">
        <v>4</v>
      </c>
      <c r="C7" s="9">
        <v>43</v>
      </c>
      <c r="D7" s="3">
        <f>'Q3 (i)'!W24</f>
        <v>-24.179575270396601</v>
      </c>
      <c r="E7" s="18">
        <f>1-'Q3 (i)'!T24</f>
        <v>0.999054</v>
      </c>
      <c r="F7" s="3">
        <f t="shared" si="0"/>
        <v>33.882794722585501</v>
      </c>
      <c r="G7" s="3">
        <f t="shared" si="1"/>
        <v>0</v>
      </c>
      <c r="H7" s="3"/>
      <c r="I7" s="15"/>
      <c r="L7" s="7"/>
      <c r="M7" s="7"/>
      <c r="N7" s="7"/>
      <c r="O7" s="7"/>
      <c r="P7" s="7"/>
      <c r="Q7" s="3"/>
      <c r="T7" s="7"/>
      <c r="U7" s="7"/>
      <c r="V7" s="7"/>
      <c r="Z7" s="7"/>
      <c r="AA7" s="7"/>
    </row>
    <row r="8" spans="1:27" x14ac:dyDescent="0.25">
      <c r="A8" s="77"/>
      <c r="B8">
        <v>5</v>
      </c>
      <c r="C8" s="9">
        <v>44</v>
      </c>
      <c r="D8" s="3">
        <f>'Q3 (i)'!W25</f>
        <v>-18.206934013484833</v>
      </c>
      <c r="E8" s="18">
        <f>1-'Q3 (i)'!T25</f>
        <v>0.99897800000000003</v>
      </c>
      <c r="F8" s="3">
        <f t="shared" si="0"/>
        <v>16.709421579632618</v>
      </c>
      <c r="G8" s="3">
        <f t="shared" si="1"/>
        <v>0</v>
      </c>
      <c r="H8" s="3"/>
      <c r="I8" s="15"/>
      <c r="L8" s="7"/>
      <c r="M8" s="7"/>
      <c r="N8" s="7"/>
      <c r="O8" s="7"/>
      <c r="P8" s="7"/>
      <c r="Q8" s="3"/>
      <c r="T8" s="7"/>
      <c r="U8" s="7"/>
      <c r="V8" s="7"/>
      <c r="Z8" s="7"/>
      <c r="AA8" s="7"/>
    </row>
    <row r="9" spans="1:27" x14ac:dyDescent="0.25">
      <c r="A9" s="77"/>
      <c r="B9">
        <v>6</v>
      </c>
      <c r="C9" s="9">
        <v>45</v>
      </c>
      <c r="D9" s="3">
        <f>'Q3 (i)'!W26</f>
        <v>-12.009907827783181</v>
      </c>
      <c r="E9" s="18">
        <f>1-'Q3 (i)'!T26</f>
        <v>0.99889099999999997</v>
      </c>
      <c r="F9" s="3">
        <f>MAX((F10*E10-D10)/(1+$B$1),0)</f>
        <v>5.2065704859072879</v>
      </c>
      <c r="G9" s="3">
        <f t="shared" si="1"/>
        <v>0</v>
      </c>
      <c r="H9" s="3"/>
      <c r="I9" s="15"/>
      <c r="L9" s="7"/>
      <c r="M9" s="7"/>
      <c r="N9" s="7"/>
      <c r="O9" s="7"/>
      <c r="P9" s="7"/>
      <c r="Q9" s="3"/>
      <c r="T9" s="7"/>
      <c r="U9" s="7"/>
      <c r="V9" s="7"/>
      <c r="Z9" s="7"/>
      <c r="AA9" s="7"/>
    </row>
    <row r="10" spans="1:27" x14ac:dyDescent="0.25">
      <c r="A10" s="77"/>
      <c r="B10">
        <v>7</v>
      </c>
      <c r="C10" s="9">
        <v>46</v>
      </c>
      <c r="D10" s="3">
        <f>'Q3 (i)'!W27</f>
        <v>-5.3627676004845064</v>
      </c>
      <c r="E10" s="18">
        <f>1-'Q3 (i)'!T27</f>
        <v>0.99879200000000001</v>
      </c>
      <c r="F10" s="3">
        <f>MAX((F11*E11-D11)/(1+$B$1),0)</f>
        <v>0</v>
      </c>
      <c r="G10" s="3">
        <f>F9*(1+$B$1)+D10-E10*F10</f>
        <v>0</v>
      </c>
      <c r="H10" s="3"/>
      <c r="I10" s="15"/>
      <c r="L10" s="7"/>
      <c r="M10" s="7"/>
      <c r="N10" s="7"/>
      <c r="O10" s="7"/>
      <c r="P10" s="7"/>
      <c r="Q10" s="3"/>
      <c r="T10" s="7"/>
      <c r="U10" s="7"/>
      <c r="V10" s="7"/>
      <c r="Z10" s="7"/>
      <c r="AA10" s="7"/>
    </row>
    <row r="11" spans="1:27" x14ac:dyDescent="0.25">
      <c r="A11" s="77"/>
      <c r="B11">
        <v>8</v>
      </c>
      <c r="C11" s="9">
        <v>47</v>
      </c>
      <c r="D11" s="3">
        <f>'Q3 (i)'!W28</f>
        <v>107.06983375199327</v>
      </c>
      <c r="E11" s="18">
        <f>1-'Q3 (i)'!T28</f>
        <v>0.99868000000000001</v>
      </c>
      <c r="F11" s="3">
        <f t="shared" si="0"/>
        <v>0</v>
      </c>
      <c r="G11" s="3">
        <f t="shared" si="1"/>
        <v>107.06983375199327</v>
      </c>
      <c r="H11" s="3"/>
      <c r="I11" s="15"/>
      <c r="L11" s="7"/>
      <c r="M11" s="7"/>
      <c r="N11" s="7"/>
      <c r="O11" s="7"/>
      <c r="P11" s="7"/>
      <c r="Q11" s="3"/>
      <c r="T11" s="7"/>
      <c r="U11" s="7"/>
      <c r="V11" s="7"/>
      <c r="Z11" s="7"/>
      <c r="AA11" s="7"/>
    </row>
    <row r="12" spans="1:27" x14ac:dyDescent="0.25">
      <c r="A12" s="77"/>
      <c r="B12">
        <v>9</v>
      </c>
      <c r="C12" s="9">
        <v>48</v>
      </c>
      <c r="D12" s="3">
        <f>'Q3 (i)'!W29</f>
        <v>116.53727456886533</v>
      </c>
      <c r="E12" s="18">
        <f>1-'Q3 (i)'!T29</f>
        <v>0.99855300000000002</v>
      </c>
      <c r="F12" s="3">
        <f t="shared" si="0"/>
        <v>0</v>
      </c>
      <c r="G12" s="3">
        <f t="shared" si="1"/>
        <v>116.53727456886533</v>
      </c>
      <c r="H12" s="3"/>
      <c r="I12" s="15"/>
      <c r="L12" s="7"/>
      <c r="M12" s="7"/>
      <c r="N12" s="7"/>
      <c r="O12" s="7"/>
      <c r="P12" s="7"/>
      <c r="Q12" s="3"/>
      <c r="T12" s="7"/>
      <c r="U12" s="7"/>
      <c r="V12" s="7"/>
      <c r="Z12" s="7"/>
      <c r="AA12" s="7"/>
    </row>
    <row r="13" spans="1:27" x14ac:dyDescent="0.25">
      <c r="A13" s="77"/>
      <c r="B13">
        <v>10</v>
      </c>
      <c r="C13" s="9">
        <v>49</v>
      </c>
      <c r="D13" s="3">
        <f>'Q3 (i)'!W30</f>
        <v>126.02083133362825</v>
      </c>
      <c r="E13" s="18">
        <f>1-'Q3 (i)'!T30</f>
        <v>0.99840799999999996</v>
      </c>
      <c r="F13" s="3">
        <f t="shared" si="0"/>
        <v>0</v>
      </c>
      <c r="G13" s="3">
        <f t="shared" si="1"/>
        <v>126.02083133362825</v>
      </c>
      <c r="H13" s="3"/>
      <c r="I13" s="15"/>
      <c r="L13" s="7"/>
      <c r="M13" s="7"/>
      <c r="N13" s="7"/>
      <c r="O13" s="7"/>
      <c r="P13" s="7"/>
      <c r="Q13" s="3"/>
      <c r="T13" s="7"/>
      <c r="U13" s="7"/>
      <c r="V13" s="7"/>
      <c r="Z13" s="7"/>
      <c r="AA13" s="7"/>
    </row>
    <row r="14" spans="1:27" x14ac:dyDescent="0.25">
      <c r="A14" s="77"/>
      <c r="B14">
        <v>11</v>
      </c>
      <c r="C14" s="9">
        <v>50</v>
      </c>
      <c r="D14" s="3">
        <f>'Q3 (i)'!W31</f>
        <v>135.27912414918848</v>
      </c>
      <c r="E14" s="18">
        <f>1-'Q3 (i)'!T31</f>
        <v>0.99824500000000005</v>
      </c>
      <c r="F14" s="3">
        <f t="shared" si="0"/>
        <v>0</v>
      </c>
      <c r="G14" s="3">
        <f t="shared" si="1"/>
        <v>135.27912414918848</v>
      </c>
      <c r="H14" s="3"/>
      <c r="I14" s="15"/>
      <c r="L14" s="7"/>
      <c r="M14" s="7"/>
      <c r="N14" s="7"/>
      <c r="O14" s="7"/>
      <c r="P14" s="7"/>
      <c r="Q14" s="3"/>
      <c r="T14" s="7"/>
      <c r="U14" s="7"/>
      <c r="V14" s="7"/>
      <c r="Z14" s="7"/>
      <c r="AA14" s="7"/>
    </row>
    <row r="15" spans="1:27" x14ac:dyDescent="0.25">
      <c r="A15" s="77"/>
      <c r="B15">
        <v>12</v>
      </c>
      <c r="C15" s="9">
        <v>51</v>
      </c>
      <c r="D15" s="3">
        <f>'Q3 (i)'!W32</f>
        <v>144.04738345458108</v>
      </c>
      <c r="E15" s="18">
        <f>1-'Q3 (i)'!T32</f>
        <v>0.99805999999999995</v>
      </c>
      <c r="F15" s="3">
        <f t="shared" si="0"/>
        <v>0</v>
      </c>
      <c r="G15" s="3">
        <f t="shared" si="1"/>
        <v>144.04738345458108</v>
      </c>
      <c r="H15" s="3"/>
      <c r="I15" s="15"/>
      <c r="L15" s="7"/>
      <c r="M15" s="7"/>
      <c r="N15" s="7"/>
      <c r="O15" s="7"/>
      <c r="P15" s="7"/>
      <c r="Q15" s="3"/>
      <c r="T15" s="7"/>
      <c r="U15" s="7"/>
      <c r="V15" s="7"/>
      <c r="Z15" s="7"/>
      <c r="AA15" s="7"/>
    </row>
    <row r="16" spans="1:27" x14ac:dyDescent="0.25">
      <c r="A16" s="77"/>
      <c r="B16">
        <v>13</v>
      </c>
      <c r="C16" s="9">
        <v>52</v>
      </c>
      <c r="D16" s="3">
        <f>'Q3 (i)'!W33</f>
        <v>151.98148042717673</v>
      </c>
      <c r="E16" s="18">
        <f>1-'Q3 (i)'!T33</f>
        <v>0.99784899999999999</v>
      </c>
      <c r="F16" s="3">
        <f t="shared" si="0"/>
        <v>0</v>
      </c>
      <c r="G16" s="3">
        <f t="shared" si="1"/>
        <v>151.98148042717673</v>
      </c>
      <c r="H16" s="3"/>
      <c r="I16" s="15"/>
      <c r="L16" s="7"/>
      <c r="M16" s="7"/>
      <c r="N16" s="7"/>
      <c r="O16" s="7"/>
      <c r="P16" s="7"/>
      <c r="Q16" s="3"/>
      <c r="T16" s="7"/>
      <c r="U16" s="7"/>
      <c r="V16" s="7"/>
      <c r="Z16" s="7"/>
      <c r="AA16" s="7"/>
    </row>
    <row r="17" spans="1:27" x14ac:dyDescent="0.25">
      <c r="A17" s="77"/>
      <c r="B17">
        <v>14</v>
      </c>
      <c r="C17" s="9">
        <v>53</v>
      </c>
      <c r="D17" s="3">
        <f>'Q3 (i)'!W34</f>
        <v>158.72596939529092</v>
      </c>
      <c r="E17" s="18">
        <f>1-'Q3 (i)'!T34</f>
        <v>0.99761100000000003</v>
      </c>
      <c r="F17" s="3">
        <f t="shared" si="0"/>
        <v>0</v>
      </c>
      <c r="G17" s="3">
        <f t="shared" si="1"/>
        <v>158.72596939529092</v>
      </c>
      <c r="H17" s="3"/>
      <c r="I17" s="15"/>
      <c r="L17" s="7"/>
      <c r="M17" s="7"/>
      <c r="N17" s="7"/>
      <c r="O17" s="7"/>
      <c r="P17" s="7"/>
      <c r="Q17" s="3"/>
      <c r="T17" s="7"/>
      <c r="U17" s="7"/>
      <c r="V17" s="7"/>
      <c r="Z17" s="7"/>
      <c r="AA17" s="7"/>
    </row>
    <row r="18" spans="1:27" x14ac:dyDescent="0.25">
      <c r="A18" s="77"/>
      <c r="B18">
        <v>15</v>
      </c>
      <c r="C18" s="9">
        <v>54</v>
      </c>
      <c r="D18" s="3">
        <f>'Q3 (i)'!W35</f>
        <v>163.70001898762416</v>
      </c>
      <c r="E18" s="18">
        <f>1-'Q3 (i)'!T35</f>
        <v>0.99734</v>
      </c>
      <c r="F18" s="3">
        <f t="shared" si="0"/>
        <v>0</v>
      </c>
      <c r="G18" s="3">
        <f t="shared" si="1"/>
        <v>163.70001898762416</v>
      </c>
      <c r="H18" s="3"/>
      <c r="I18" s="15"/>
      <c r="L18" s="7"/>
      <c r="M18" s="7"/>
      <c r="N18" s="7"/>
      <c r="O18" s="7"/>
      <c r="P18" s="7"/>
      <c r="Q18" s="3"/>
      <c r="T18" s="7"/>
      <c r="U18" s="7"/>
      <c r="V18" s="7"/>
      <c r="Z18" s="7"/>
      <c r="AA18" s="7"/>
    </row>
    <row r="19" spans="1:27" x14ac:dyDescent="0.25">
      <c r="A19" s="77"/>
      <c r="B19">
        <v>16</v>
      </c>
      <c r="C19" s="9">
        <v>55</v>
      </c>
      <c r="D19" s="3">
        <f>'Q3 (i)'!W36</f>
        <v>166.27090906333075</v>
      </c>
      <c r="E19" s="18">
        <f>1-'Q3 (i)'!T36</f>
        <v>0.99703299999999995</v>
      </c>
      <c r="F19" s="3">
        <f t="shared" si="0"/>
        <v>0</v>
      </c>
      <c r="G19" s="3">
        <f t="shared" si="1"/>
        <v>166.27090906333075</v>
      </c>
      <c r="H19" s="3"/>
      <c r="I19" s="15"/>
      <c r="L19" s="7"/>
      <c r="M19" s="7"/>
      <c r="N19" s="7"/>
      <c r="O19" s="7"/>
      <c r="P19" s="7"/>
      <c r="Q19" s="3"/>
      <c r="T19" s="7"/>
      <c r="U19" s="7"/>
      <c r="V19" s="7"/>
      <c r="Z19" s="7"/>
      <c r="AA19" s="7"/>
    </row>
    <row r="20" spans="1:27" x14ac:dyDescent="0.25">
      <c r="A20" s="77"/>
      <c r="B20">
        <v>17</v>
      </c>
      <c r="C20" s="9">
        <v>56</v>
      </c>
      <c r="D20" s="3">
        <f>'Q3 (i)'!W37</f>
        <v>165.63054290891091</v>
      </c>
      <c r="E20" s="18">
        <f>1-'Q3 (i)'!T37</f>
        <v>0.99668599999999996</v>
      </c>
      <c r="F20" s="3">
        <f t="shared" si="0"/>
        <v>0</v>
      </c>
      <c r="G20" s="3">
        <f t="shared" si="1"/>
        <v>165.63054290891091</v>
      </c>
      <c r="H20" s="3"/>
      <c r="I20" s="15"/>
      <c r="L20" s="7"/>
      <c r="M20" s="7"/>
      <c r="N20" s="7"/>
      <c r="O20" s="7"/>
      <c r="P20" s="7"/>
      <c r="Q20" s="3"/>
      <c r="T20" s="7"/>
      <c r="U20" s="7"/>
      <c r="V20" s="7"/>
      <c r="Z20" s="7"/>
      <c r="AA20" s="7"/>
    </row>
    <row r="21" spans="1:27" x14ac:dyDescent="0.25">
      <c r="A21" s="77"/>
      <c r="B21">
        <v>18</v>
      </c>
      <c r="C21" s="9">
        <v>57</v>
      </c>
      <c r="D21" s="3">
        <f>'Q3 (i)'!W38</f>
        <v>160.66216997705087</v>
      </c>
      <c r="E21" s="18">
        <f>1-'Q3 (i)'!T38</f>
        <v>0.99629199999999996</v>
      </c>
      <c r="F21" s="3">
        <f t="shared" si="0"/>
        <v>0</v>
      </c>
      <c r="G21" s="3">
        <f t="shared" si="1"/>
        <v>160.66216997705087</v>
      </c>
      <c r="H21" s="3"/>
      <c r="I21" s="15"/>
      <c r="L21" s="7"/>
      <c r="M21" s="7"/>
      <c r="N21" s="7"/>
      <c r="O21" s="7"/>
      <c r="P21" s="7"/>
      <c r="Q21" s="3"/>
      <c r="T21" s="7"/>
      <c r="U21" s="7"/>
      <c r="V21" s="7"/>
      <c r="Z21" s="7"/>
      <c r="AA21" s="7"/>
    </row>
    <row r="22" spans="1:27" x14ac:dyDescent="0.25">
      <c r="A22" s="77"/>
      <c r="B22">
        <v>19</v>
      </c>
      <c r="C22" s="9">
        <v>58</v>
      </c>
      <c r="D22" s="3">
        <f>'Q3 (i)'!W39</f>
        <v>149.98190957453542</v>
      </c>
      <c r="E22" s="18">
        <f>1-'Q3 (i)'!T39</f>
        <v>0.99584399999999995</v>
      </c>
      <c r="F22" s="3">
        <f t="shared" si="0"/>
        <v>0</v>
      </c>
      <c r="G22" s="3">
        <f t="shared" si="1"/>
        <v>149.98190957453542</v>
      </c>
      <c r="H22" s="3"/>
      <c r="I22" s="15"/>
      <c r="L22" s="7"/>
      <c r="M22" s="7"/>
      <c r="N22" s="7"/>
      <c r="O22" s="7"/>
      <c r="P22" s="7"/>
      <c r="Q22" s="3"/>
      <c r="T22" s="7"/>
      <c r="U22" s="7"/>
      <c r="V22" s="7"/>
      <c r="Z22" s="7"/>
      <c r="AA22" s="7"/>
    </row>
    <row r="23" spans="1:27" x14ac:dyDescent="0.25">
      <c r="A23" s="77"/>
      <c r="B23">
        <v>20</v>
      </c>
      <c r="C23" s="9">
        <v>59</v>
      </c>
      <c r="D23" s="3">
        <f>'Q3 (i)'!W40</f>
        <v>132.05289311386559</v>
      </c>
      <c r="E23" s="18">
        <f>1-'Q3 (i)'!T40</f>
        <v>0.99533800000000006</v>
      </c>
      <c r="F23" s="3">
        <f t="shared" si="0"/>
        <v>0</v>
      </c>
      <c r="G23" s="3">
        <f t="shared" si="1"/>
        <v>132.05289311386559</v>
      </c>
      <c r="H23" s="3"/>
      <c r="I23" s="15"/>
      <c r="L23" s="7"/>
      <c r="M23" s="7"/>
      <c r="N23" s="7"/>
      <c r="O23" s="7"/>
      <c r="P23" s="7"/>
      <c r="Q23" s="3"/>
      <c r="T23" s="7"/>
      <c r="U23" s="7"/>
      <c r="V23" s="7"/>
      <c r="Z23" s="7"/>
      <c r="AA23" s="7"/>
    </row>
    <row r="24" spans="1:27" x14ac:dyDescent="0.25">
      <c r="A24" s="77"/>
    </row>
    <row r="25" spans="1:27" x14ac:dyDescent="0.25">
      <c r="A25" s="77"/>
    </row>
    <row r="26" spans="1:27" x14ac:dyDescent="0.25">
      <c r="A26" s="77"/>
    </row>
    <row r="27" spans="1:27" x14ac:dyDescent="0.25">
      <c r="A27" s="77"/>
    </row>
    <row r="28" spans="1:27" x14ac:dyDescent="0.25">
      <c r="A28" s="77"/>
    </row>
    <row r="29" spans="1:27" x14ac:dyDescent="0.25">
      <c r="A29" s="77"/>
    </row>
    <row r="30" spans="1:27" x14ac:dyDescent="0.25">
      <c r="A30" s="77"/>
    </row>
    <row r="31" spans="1:27" x14ac:dyDescent="0.25">
      <c r="A31" s="77"/>
    </row>
    <row r="32" spans="1:27" x14ac:dyDescent="0.25">
      <c r="A32" s="77"/>
    </row>
    <row r="33" spans="1:1" x14ac:dyDescent="0.25">
      <c r="A33" s="77"/>
    </row>
    <row r="34" spans="1:1" x14ac:dyDescent="0.25">
      <c r="A34" s="7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F56F6-1CF2-48E1-80F3-54B0A366A3C6}">
  <dimension ref="A1:M24"/>
  <sheetViews>
    <sheetView workbookViewId="0">
      <selection activeCell="E4" sqref="E4"/>
    </sheetView>
  </sheetViews>
  <sheetFormatPr defaultRowHeight="15" x14ac:dyDescent="0.25"/>
  <cols>
    <col min="3" max="3" width="12.140625" customWidth="1"/>
    <col min="4" max="4" width="14.7109375" customWidth="1"/>
    <col min="5" max="5" width="14.140625" customWidth="1"/>
    <col min="6" max="6" width="10.7109375" customWidth="1"/>
    <col min="7" max="7" width="12" customWidth="1"/>
    <col min="8" max="9" width="13.85546875" customWidth="1"/>
    <col min="11" max="11" width="11.5703125" customWidth="1"/>
    <col min="12" max="12" width="12.42578125" customWidth="1"/>
  </cols>
  <sheetData>
    <row r="1" spans="1:13" x14ac:dyDescent="0.25">
      <c r="B1" s="14" t="s">
        <v>71</v>
      </c>
      <c r="C1" s="21">
        <v>0.08</v>
      </c>
      <c r="D1" t="s">
        <v>51</v>
      </c>
    </row>
    <row r="2" spans="1:13" x14ac:dyDescent="0.25">
      <c r="G2" s="11" t="s">
        <v>7</v>
      </c>
      <c r="H2" s="11" t="s">
        <v>7</v>
      </c>
      <c r="I2" s="11" t="s">
        <v>7</v>
      </c>
      <c r="J2" s="11" t="s">
        <v>7</v>
      </c>
      <c r="K2" s="11" t="s">
        <v>7</v>
      </c>
      <c r="L2" s="11" t="s">
        <v>7</v>
      </c>
    </row>
    <row r="3" spans="1:13" x14ac:dyDescent="0.25">
      <c r="A3" s="77"/>
      <c r="K3" s="20">
        <f>SUM(K5:K24)</f>
        <v>594.18874793057671</v>
      </c>
      <c r="L3" s="20">
        <f>SUM(L5:L24)</f>
        <v>582.05836807889648</v>
      </c>
      <c r="M3" s="11" t="s">
        <v>7</v>
      </c>
    </row>
    <row r="4" spans="1:13" ht="60" x14ac:dyDescent="0.25">
      <c r="A4" s="77"/>
      <c r="B4" s="4" t="s">
        <v>29</v>
      </c>
      <c r="C4" s="8" t="s">
        <v>45</v>
      </c>
      <c r="D4" s="8" t="s">
        <v>72</v>
      </c>
      <c r="E4" s="8" t="s">
        <v>77</v>
      </c>
      <c r="F4" s="8" t="s">
        <v>42</v>
      </c>
      <c r="G4" s="8" t="s">
        <v>70</v>
      </c>
      <c r="H4" s="8" t="s">
        <v>73</v>
      </c>
      <c r="I4" s="8" t="s">
        <v>74</v>
      </c>
      <c r="J4" s="8" t="s">
        <v>0</v>
      </c>
      <c r="K4" s="8" t="s">
        <v>75</v>
      </c>
      <c r="L4" s="8" t="s">
        <v>76</v>
      </c>
    </row>
    <row r="5" spans="1:13" x14ac:dyDescent="0.25">
      <c r="A5" s="77"/>
      <c r="B5">
        <v>1</v>
      </c>
      <c r="C5" s="9">
        <v>40</v>
      </c>
      <c r="D5" s="7">
        <f>'Q3 (ii)'!D4</f>
        <v>55.065726550000001</v>
      </c>
      <c r="E5" s="7">
        <f>'Q3 (ii)'!G4</f>
        <v>-59.744055115894561</v>
      </c>
      <c r="F5" s="65">
        <f>'Q3 (ii)'!E4</f>
        <v>0.99960000000000004</v>
      </c>
      <c r="G5" s="61">
        <v>1</v>
      </c>
      <c r="H5" s="7">
        <f>D5*G5</f>
        <v>55.065726550000001</v>
      </c>
      <c r="I5" s="7">
        <f>E5*G5</f>
        <v>-59.744055115894561</v>
      </c>
      <c r="J5">
        <f>(1+$C$1)^-B5</f>
        <v>0.92592592592592582</v>
      </c>
      <c r="K5" s="7">
        <f>H5*J5</f>
        <v>50.986783842592587</v>
      </c>
      <c r="L5" s="7">
        <f>I5*J5</f>
        <v>-55.318569551754216</v>
      </c>
    </row>
    <row r="6" spans="1:13" x14ac:dyDescent="0.25">
      <c r="A6" s="77"/>
      <c r="B6">
        <v>2</v>
      </c>
      <c r="C6" s="9">
        <v>41</v>
      </c>
      <c r="D6" s="7">
        <f>'Q3 (ii)'!D5</f>
        <v>-34.710548717522407</v>
      </c>
      <c r="E6" s="7">
        <f>'Q3 (ii)'!G5</f>
        <v>0</v>
      </c>
      <c r="F6" s="65">
        <f>'Q3 (ii)'!E5</f>
        <v>0.99946299999999999</v>
      </c>
      <c r="G6" s="61">
        <f>G5*F5</f>
        <v>0.99960000000000004</v>
      </c>
      <c r="H6" s="7">
        <f t="shared" ref="H6:H24" si="0">D6*G6</f>
        <v>-34.696664498035396</v>
      </c>
      <c r="I6" s="7">
        <f t="shared" ref="I6:I24" si="1">E6*G6</f>
        <v>0</v>
      </c>
      <c r="J6">
        <f t="shared" ref="J6:J24" si="2">(1+$C$1)^-B6</f>
        <v>0.85733882030178321</v>
      </c>
      <c r="K6" s="7">
        <f t="shared" ref="K6:K24" si="3">H6*J6</f>
        <v>-29.746797409152428</v>
      </c>
      <c r="L6" s="7">
        <f t="shared" ref="L6:L24" si="4">I6*J6</f>
        <v>0</v>
      </c>
    </row>
    <row r="7" spans="1:13" x14ac:dyDescent="0.25">
      <c r="A7" s="77"/>
      <c r="B7">
        <v>3</v>
      </c>
      <c r="C7" s="9">
        <v>42</v>
      </c>
      <c r="D7" s="7">
        <f>'Q3 (ii)'!D6</f>
        <v>-29.85418529458094</v>
      </c>
      <c r="E7" s="7">
        <f>'Q3 (ii)'!G6</f>
        <v>0</v>
      </c>
      <c r="F7" s="65">
        <f>'Q3 (ii)'!E6</f>
        <v>0.99912199999999995</v>
      </c>
      <c r="G7" s="61">
        <f t="shared" ref="G7:G24" si="5">G6*F6</f>
        <v>0.99906321480000004</v>
      </c>
      <c r="H7" s="7">
        <f t="shared" si="0"/>
        <v>-29.82621833563892</v>
      </c>
      <c r="I7" s="7">
        <f t="shared" si="1"/>
        <v>0</v>
      </c>
      <c r="J7">
        <f t="shared" si="2"/>
        <v>0.79383224102016958</v>
      </c>
      <c r="K7" s="7">
        <f t="shared" si="3"/>
        <v>-23.677013742537117</v>
      </c>
      <c r="L7" s="7">
        <f t="shared" si="4"/>
        <v>0</v>
      </c>
    </row>
    <row r="8" spans="1:13" x14ac:dyDescent="0.25">
      <c r="A8" s="77"/>
      <c r="B8">
        <v>4</v>
      </c>
      <c r="C8" s="9">
        <v>43</v>
      </c>
      <c r="D8" s="7">
        <f>'Q3 (ii)'!D7</f>
        <v>-24.179575270396601</v>
      </c>
      <c r="E8" s="7">
        <f>'Q3 (ii)'!G7</f>
        <v>0</v>
      </c>
      <c r="F8" s="65">
        <f>'Q3 (ii)'!E7</f>
        <v>0.999054</v>
      </c>
      <c r="G8" s="61">
        <f t="shared" si="5"/>
        <v>0.99818603729740563</v>
      </c>
      <c r="H8" s="7">
        <f t="shared" si="0"/>
        <v>-24.135714422691528</v>
      </c>
      <c r="I8" s="7">
        <f t="shared" si="1"/>
        <v>0</v>
      </c>
      <c r="J8">
        <f t="shared" si="2"/>
        <v>0.73502985279645328</v>
      </c>
      <c r="K8" s="7">
        <f t="shared" si="3"/>
        <v>-17.740470619248189</v>
      </c>
      <c r="L8" s="7">
        <f t="shared" si="4"/>
        <v>0</v>
      </c>
    </row>
    <row r="9" spans="1:13" x14ac:dyDescent="0.25">
      <c r="A9" s="77"/>
      <c r="B9">
        <v>5</v>
      </c>
      <c r="C9" s="9">
        <v>44</v>
      </c>
      <c r="D9" s="7">
        <f>'Q3 (ii)'!D8</f>
        <v>-18.206934013484833</v>
      </c>
      <c r="E9" s="7">
        <f>'Q3 (ii)'!G8</f>
        <v>0</v>
      </c>
      <c r="F9" s="65">
        <f>'Q3 (ii)'!E8</f>
        <v>0.99897800000000003</v>
      </c>
      <c r="G9" s="61">
        <f t="shared" si="5"/>
        <v>0.9972417533061223</v>
      </c>
      <c r="H9" s="7">
        <f t="shared" si="0"/>
        <v>-18.156714797936488</v>
      </c>
      <c r="I9" s="7">
        <f t="shared" si="1"/>
        <v>0</v>
      </c>
      <c r="J9">
        <f t="shared" si="2"/>
        <v>0.68058319703375303</v>
      </c>
      <c r="K9" s="7">
        <f t="shared" si="3"/>
        <v>-12.357155004809668</v>
      </c>
      <c r="L9" s="7">
        <f t="shared" si="4"/>
        <v>0</v>
      </c>
    </row>
    <row r="10" spans="1:13" x14ac:dyDescent="0.25">
      <c r="A10" s="77"/>
      <c r="B10">
        <v>6</v>
      </c>
      <c r="C10" s="9">
        <v>45</v>
      </c>
      <c r="D10" s="7">
        <f>'Q3 (ii)'!D9</f>
        <v>-12.009907827783181</v>
      </c>
      <c r="E10" s="7">
        <f>'Q3 (ii)'!G9</f>
        <v>0</v>
      </c>
      <c r="F10" s="65">
        <f>'Q3 (ii)'!E9</f>
        <v>0.99889099999999997</v>
      </c>
      <c r="G10" s="61">
        <f t="shared" si="5"/>
        <v>0.99622257223424349</v>
      </c>
      <c r="H10" s="7">
        <f t="shared" si="0"/>
        <v>-11.964541268490336</v>
      </c>
      <c r="I10" s="7">
        <f t="shared" si="1"/>
        <v>0</v>
      </c>
      <c r="J10">
        <f t="shared" si="2"/>
        <v>0.63016962688310452</v>
      </c>
      <c r="K10" s="7">
        <f t="shared" si="3"/>
        <v>-7.539690506992061</v>
      </c>
      <c r="L10" s="7">
        <f t="shared" si="4"/>
        <v>0</v>
      </c>
    </row>
    <row r="11" spans="1:13" x14ac:dyDescent="0.25">
      <c r="A11" s="77"/>
      <c r="B11">
        <v>7</v>
      </c>
      <c r="C11" s="9">
        <v>46</v>
      </c>
      <c r="D11" s="7">
        <f>'Q3 (ii)'!D10</f>
        <v>-5.3627676004845064</v>
      </c>
      <c r="E11" s="7">
        <f>'Q3 (ii)'!G10</f>
        <v>0</v>
      </c>
      <c r="F11" s="65">
        <f>'Q3 (ii)'!E10</f>
        <v>0.99879200000000001</v>
      </c>
      <c r="G11" s="61">
        <f t="shared" si="5"/>
        <v>0.99511776140163566</v>
      </c>
      <c r="H11" s="7">
        <f t="shared" si="0"/>
        <v>-5.3365852895113628</v>
      </c>
      <c r="I11" s="7">
        <f t="shared" si="1"/>
        <v>0</v>
      </c>
      <c r="J11">
        <f t="shared" si="2"/>
        <v>0.58349039526213387</v>
      </c>
      <c r="K11" s="7">
        <f t="shared" si="3"/>
        <v>-3.1138462599270742</v>
      </c>
      <c r="L11" s="7">
        <f t="shared" si="4"/>
        <v>0</v>
      </c>
    </row>
    <row r="12" spans="1:13" x14ac:dyDescent="0.25">
      <c r="A12" s="77"/>
      <c r="B12">
        <v>8</v>
      </c>
      <c r="C12" s="9">
        <v>47</v>
      </c>
      <c r="D12" s="7">
        <f>'Q3 (ii)'!D11</f>
        <v>107.06983375199327</v>
      </c>
      <c r="E12" s="7">
        <f>'Q3 (ii)'!G11</f>
        <v>107.06983375199327</v>
      </c>
      <c r="F12" s="65">
        <f>'Q3 (ii)'!E11</f>
        <v>0.99868000000000001</v>
      </c>
      <c r="G12" s="61">
        <f t="shared" si="5"/>
        <v>0.99391565914586255</v>
      </c>
      <c r="H12" s="7">
        <f t="shared" si="0"/>
        <v>106.41838438825032</v>
      </c>
      <c r="I12" s="7">
        <f t="shared" si="1"/>
        <v>106.41838438825032</v>
      </c>
      <c r="J12">
        <f t="shared" si="2"/>
        <v>0.54026888450197574</v>
      </c>
      <c r="K12" s="7">
        <f t="shared" si="3"/>
        <v>57.49454182394247</v>
      </c>
      <c r="L12" s="7">
        <f t="shared" si="4"/>
        <v>57.49454182394247</v>
      </c>
    </row>
    <row r="13" spans="1:13" x14ac:dyDescent="0.25">
      <c r="A13" s="77"/>
      <c r="B13">
        <v>9</v>
      </c>
      <c r="C13" s="9">
        <v>48</v>
      </c>
      <c r="D13" s="7">
        <f>'Q3 (ii)'!D12</f>
        <v>116.53727456886533</v>
      </c>
      <c r="E13" s="7">
        <f>'Q3 (ii)'!G12</f>
        <v>116.53727456886533</v>
      </c>
      <c r="F13" s="65">
        <f>'Q3 (ii)'!E12</f>
        <v>0.99855300000000002</v>
      </c>
      <c r="G13" s="61">
        <f t="shared" si="5"/>
        <v>0.99260369047579</v>
      </c>
      <c r="H13" s="7">
        <f t="shared" si="0"/>
        <v>115.67532881504616</v>
      </c>
      <c r="I13" s="7">
        <f t="shared" si="1"/>
        <v>115.67532881504616</v>
      </c>
      <c r="J13">
        <f t="shared" si="2"/>
        <v>0.50024896713145905</v>
      </c>
      <c r="K13" s="7">
        <f t="shared" si="3"/>
        <v>57.866463762318745</v>
      </c>
      <c r="L13" s="7">
        <f t="shared" si="4"/>
        <v>57.866463762318745</v>
      </c>
    </row>
    <row r="14" spans="1:13" x14ac:dyDescent="0.25">
      <c r="A14" s="77"/>
      <c r="B14">
        <v>10</v>
      </c>
      <c r="C14" s="9">
        <v>49</v>
      </c>
      <c r="D14" s="7">
        <f>'Q3 (ii)'!D13</f>
        <v>126.02083133362825</v>
      </c>
      <c r="E14" s="7">
        <f>'Q3 (ii)'!G13</f>
        <v>126.02083133362825</v>
      </c>
      <c r="F14" s="65">
        <f>'Q3 (ii)'!E13</f>
        <v>0.99840799999999996</v>
      </c>
      <c r="G14" s="61">
        <f t="shared" si="5"/>
        <v>0.99116739293567158</v>
      </c>
      <c r="H14" s="7">
        <f t="shared" si="0"/>
        <v>124.9077388485383</v>
      </c>
      <c r="I14" s="7">
        <f t="shared" si="1"/>
        <v>124.9077388485383</v>
      </c>
      <c r="J14">
        <f t="shared" si="2"/>
        <v>0.46319348808468425</v>
      </c>
      <c r="K14" s="7">
        <f t="shared" si="3"/>
        <v>57.85645124602528</v>
      </c>
      <c r="L14" s="7">
        <f t="shared" si="4"/>
        <v>57.85645124602528</v>
      </c>
    </row>
    <row r="15" spans="1:13" x14ac:dyDescent="0.25">
      <c r="A15" s="77"/>
      <c r="B15">
        <v>11</v>
      </c>
      <c r="C15" s="9">
        <v>50</v>
      </c>
      <c r="D15" s="7">
        <f>'Q3 (ii)'!D14</f>
        <v>135.27912414918848</v>
      </c>
      <c r="E15" s="7">
        <f>'Q3 (ii)'!G14</f>
        <v>135.27912414918848</v>
      </c>
      <c r="F15" s="65">
        <f>'Q3 (ii)'!E14</f>
        <v>0.99824500000000005</v>
      </c>
      <c r="G15" s="61">
        <f t="shared" si="5"/>
        <v>0.9895894544461179</v>
      </c>
      <c r="H15" s="7">
        <f t="shared" si="0"/>
        <v>133.87079466474407</v>
      </c>
      <c r="I15" s="7">
        <f t="shared" si="1"/>
        <v>133.87079466474407</v>
      </c>
      <c r="J15">
        <f t="shared" si="2"/>
        <v>0.42888285933767062</v>
      </c>
      <c r="K15" s="7">
        <f t="shared" si="3"/>
        <v>57.414889197621619</v>
      </c>
      <c r="L15" s="7">
        <f t="shared" si="4"/>
        <v>57.414889197621619</v>
      </c>
    </row>
    <row r="16" spans="1:13" x14ac:dyDescent="0.25">
      <c r="A16" s="77"/>
      <c r="B16">
        <v>12</v>
      </c>
      <c r="C16" s="9">
        <v>51</v>
      </c>
      <c r="D16" s="7">
        <f>'Q3 (ii)'!D15</f>
        <v>144.04738345458108</v>
      </c>
      <c r="E16" s="7">
        <f>'Q3 (ii)'!G15</f>
        <v>144.04738345458108</v>
      </c>
      <c r="F16" s="65">
        <f>'Q3 (ii)'!E15</f>
        <v>0.99805999999999995</v>
      </c>
      <c r="G16" s="61">
        <f t="shared" si="5"/>
        <v>0.98785272495356502</v>
      </c>
      <c r="H16" s="7">
        <f t="shared" si="0"/>
        <v>142.29760026803899</v>
      </c>
      <c r="I16" s="7">
        <f t="shared" si="1"/>
        <v>142.29760026803899</v>
      </c>
      <c r="J16">
        <f t="shared" si="2"/>
        <v>0.39711375864599124</v>
      </c>
      <c r="K16" s="7">
        <f t="shared" si="3"/>
        <v>56.508334888745772</v>
      </c>
      <c r="L16" s="7">
        <f t="shared" si="4"/>
        <v>56.508334888745772</v>
      </c>
    </row>
    <row r="17" spans="1:12" x14ac:dyDescent="0.25">
      <c r="A17" s="77"/>
      <c r="B17">
        <v>13</v>
      </c>
      <c r="C17" s="9">
        <v>52</v>
      </c>
      <c r="D17" s="7">
        <f>'Q3 (ii)'!D16</f>
        <v>151.98148042717673</v>
      </c>
      <c r="E17" s="7">
        <f>'Q3 (ii)'!G16</f>
        <v>151.98148042717673</v>
      </c>
      <c r="F17" s="65">
        <f>'Q3 (ii)'!E16</f>
        <v>0.99784899999999999</v>
      </c>
      <c r="G17" s="61">
        <f t="shared" si="5"/>
        <v>0.98593629066715505</v>
      </c>
      <c r="H17" s="7">
        <f t="shared" si="0"/>
        <v>149.84405706247347</v>
      </c>
      <c r="I17" s="7">
        <f t="shared" si="1"/>
        <v>149.84405706247347</v>
      </c>
      <c r="J17">
        <f t="shared" si="2"/>
        <v>0.36769792467221413</v>
      </c>
      <c r="K17" s="7">
        <f t="shared" si="3"/>
        <v>55.097348806336328</v>
      </c>
      <c r="L17" s="7">
        <f t="shared" si="4"/>
        <v>55.097348806336328</v>
      </c>
    </row>
    <row r="18" spans="1:12" x14ac:dyDescent="0.25">
      <c r="A18" s="77"/>
      <c r="B18">
        <v>14</v>
      </c>
      <c r="C18" s="9">
        <v>53</v>
      </c>
      <c r="D18" s="7">
        <f>'Q3 (ii)'!D17</f>
        <v>158.72596939529092</v>
      </c>
      <c r="E18" s="7">
        <f>'Q3 (ii)'!G17</f>
        <v>158.72596939529092</v>
      </c>
      <c r="F18" s="65">
        <f>'Q3 (ii)'!E17</f>
        <v>0.99761100000000003</v>
      </c>
      <c r="G18" s="61">
        <f t="shared" si="5"/>
        <v>0.98381554170593</v>
      </c>
      <c r="H18" s="7">
        <f t="shared" si="0"/>
        <v>156.15707556342699</v>
      </c>
      <c r="I18" s="7">
        <f t="shared" si="1"/>
        <v>156.15707556342699</v>
      </c>
      <c r="J18">
        <f t="shared" si="2"/>
        <v>0.34046104136316119</v>
      </c>
      <c r="K18" s="7">
        <f t="shared" si="3"/>
        <v>53.165400562550204</v>
      </c>
      <c r="L18" s="7">
        <f t="shared" si="4"/>
        <v>53.165400562550204</v>
      </c>
    </row>
    <row r="19" spans="1:12" x14ac:dyDescent="0.25">
      <c r="A19" s="77"/>
      <c r="B19">
        <v>15</v>
      </c>
      <c r="C19" s="9">
        <v>54</v>
      </c>
      <c r="D19" s="7">
        <f>'Q3 (ii)'!D18</f>
        <v>163.70001898762416</v>
      </c>
      <c r="E19" s="7">
        <f>'Q3 (ii)'!G18</f>
        <v>163.70001898762416</v>
      </c>
      <c r="F19" s="65">
        <f>'Q3 (ii)'!E18</f>
        <v>0.99734</v>
      </c>
      <c r="G19" s="61">
        <f t="shared" si="5"/>
        <v>0.98146520637679457</v>
      </c>
      <c r="H19" s="7">
        <f t="shared" si="0"/>
        <v>160.66587291957373</v>
      </c>
      <c r="I19" s="7">
        <f t="shared" si="1"/>
        <v>160.66587291957373</v>
      </c>
      <c r="J19">
        <f t="shared" si="2"/>
        <v>0.31524170496588994</v>
      </c>
      <c r="K19" s="7">
        <f t="shared" si="3"/>
        <v>50.648583708999425</v>
      </c>
      <c r="L19" s="7">
        <f t="shared" si="4"/>
        <v>50.648583708999425</v>
      </c>
    </row>
    <row r="20" spans="1:12" x14ac:dyDescent="0.25">
      <c r="A20" s="77"/>
      <c r="B20">
        <v>16</v>
      </c>
      <c r="C20" s="9">
        <v>55</v>
      </c>
      <c r="D20" s="7">
        <f>'Q3 (ii)'!D19</f>
        <v>166.27090906333075</v>
      </c>
      <c r="E20" s="7">
        <f>'Q3 (ii)'!G19</f>
        <v>166.27090906333075</v>
      </c>
      <c r="F20" s="65">
        <f>'Q3 (ii)'!E19</f>
        <v>0.99703299999999995</v>
      </c>
      <c r="G20" s="61">
        <f t="shared" si="5"/>
        <v>0.97885450892783232</v>
      </c>
      <c r="H20" s="7">
        <f t="shared" si="0"/>
        <v>162.75502904017088</v>
      </c>
      <c r="I20" s="7">
        <f t="shared" si="1"/>
        <v>162.75502904017088</v>
      </c>
      <c r="J20">
        <f t="shared" si="2"/>
        <v>0.29189046756100923</v>
      </c>
      <c r="K20" s="7">
        <f t="shared" si="3"/>
        <v>47.506641524441115</v>
      </c>
      <c r="L20" s="7">
        <f t="shared" si="4"/>
        <v>47.506641524441115</v>
      </c>
    </row>
    <row r="21" spans="1:12" x14ac:dyDescent="0.25">
      <c r="A21" s="77"/>
      <c r="B21">
        <v>17</v>
      </c>
      <c r="C21" s="9">
        <v>56</v>
      </c>
      <c r="D21" s="7">
        <f>'Q3 (ii)'!D20</f>
        <v>165.63054290891091</v>
      </c>
      <c r="E21" s="7">
        <f>'Q3 (ii)'!G20</f>
        <v>165.63054290891091</v>
      </c>
      <c r="F21" s="65">
        <f>'Q3 (ii)'!E20</f>
        <v>0.99668599999999996</v>
      </c>
      <c r="G21" s="61">
        <f t="shared" si="5"/>
        <v>0.97595024759984339</v>
      </c>
      <c r="H21" s="7">
        <f t="shared" si="0"/>
        <v>161.64716936204809</v>
      </c>
      <c r="I21" s="7">
        <f t="shared" si="1"/>
        <v>161.64716936204809</v>
      </c>
      <c r="J21">
        <f t="shared" si="2"/>
        <v>0.27026895144537894</v>
      </c>
      <c r="K21" s="7">
        <f t="shared" si="3"/>
        <v>43.688210967594323</v>
      </c>
      <c r="L21" s="7">
        <f t="shared" si="4"/>
        <v>43.688210967594323</v>
      </c>
    </row>
    <row r="22" spans="1:12" x14ac:dyDescent="0.25">
      <c r="A22" s="77"/>
      <c r="B22">
        <v>18</v>
      </c>
      <c r="C22" s="9">
        <v>57</v>
      </c>
      <c r="D22" s="7">
        <f>'Q3 (ii)'!D21</f>
        <v>160.66216997705087</v>
      </c>
      <c r="E22" s="7">
        <f>'Q3 (ii)'!G21</f>
        <v>160.66216997705087</v>
      </c>
      <c r="F22" s="65">
        <f>'Q3 (ii)'!E21</f>
        <v>0.99629199999999996</v>
      </c>
      <c r="G22" s="61">
        <f t="shared" si="5"/>
        <v>0.97271594847929743</v>
      </c>
      <c r="H22" s="7">
        <f t="shared" si="0"/>
        <v>156.27865505396915</v>
      </c>
      <c r="I22" s="7">
        <f t="shared" si="1"/>
        <v>156.27865505396915</v>
      </c>
      <c r="J22">
        <f t="shared" si="2"/>
        <v>0.25024902911609154</v>
      </c>
      <c r="K22" s="7">
        <f t="shared" si="3"/>
        <v>39.108581698824352</v>
      </c>
      <c r="L22" s="7">
        <f t="shared" si="4"/>
        <v>39.108581698824352</v>
      </c>
    </row>
    <row r="23" spans="1:12" x14ac:dyDescent="0.25">
      <c r="A23" s="77"/>
      <c r="B23">
        <v>19</v>
      </c>
      <c r="C23" s="9">
        <v>58</v>
      </c>
      <c r="D23" s="7">
        <f>'Q3 (ii)'!D22</f>
        <v>149.98190957453542</v>
      </c>
      <c r="E23" s="7">
        <f>'Q3 (ii)'!G22</f>
        <v>149.98190957453542</v>
      </c>
      <c r="F23" s="65">
        <f>'Q3 (ii)'!E22</f>
        <v>0.99584399999999995</v>
      </c>
      <c r="G23" s="61">
        <f t="shared" si="5"/>
        <v>0.9691091177423361</v>
      </c>
      <c r="H23" s="7">
        <f t="shared" si="0"/>
        <v>145.34883606508885</v>
      </c>
      <c r="I23" s="7">
        <f t="shared" si="1"/>
        <v>145.34883606508885</v>
      </c>
      <c r="J23">
        <f t="shared" si="2"/>
        <v>0.23171206399638106</v>
      </c>
      <c r="K23" s="7">
        <f t="shared" si="3"/>
        <v>33.679078804113367</v>
      </c>
      <c r="L23" s="7">
        <f t="shared" si="4"/>
        <v>33.679078804113367</v>
      </c>
    </row>
    <row r="24" spans="1:12" x14ac:dyDescent="0.25">
      <c r="A24" s="77"/>
      <c r="B24">
        <v>20</v>
      </c>
      <c r="C24" s="9">
        <v>59</v>
      </c>
      <c r="D24" s="7">
        <f>'Q3 (ii)'!D23</f>
        <v>132.05289311386559</v>
      </c>
      <c r="E24" s="7">
        <f>'Q3 (ii)'!G23</f>
        <v>132.05289311386559</v>
      </c>
      <c r="F24" s="65">
        <f>'Q3 (ii)'!E23</f>
        <v>0.99533800000000006</v>
      </c>
      <c r="G24" s="61">
        <f t="shared" si="5"/>
        <v>0.96508150024899886</v>
      </c>
      <c r="H24" s="7">
        <f t="shared" si="0"/>
        <v>127.4418041985501</v>
      </c>
      <c r="I24" s="7">
        <f t="shared" si="1"/>
        <v>127.4418041985501</v>
      </c>
      <c r="J24">
        <f t="shared" si="2"/>
        <v>0.21454820740405653</v>
      </c>
      <c r="K24" s="7">
        <f t="shared" si="3"/>
        <v>27.34241063913769</v>
      </c>
      <c r="L24" s="7">
        <f t="shared" si="4"/>
        <v>27.34241063913769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A4A00-CBD6-49EF-9506-862948771F95}">
  <dimension ref="A1:Z38"/>
  <sheetViews>
    <sheetView workbookViewId="0">
      <selection activeCell="A5" sqref="A5"/>
    </sheetView>
  </sheetViews>
  <sheetFormatPr defaultRowHeight="15" x14ac:dyDescent="0.25"/>
  <cols>
    <col min="1" max="1" width="91.85546875" bestFit="1" customWidth="1"/>
    <col min="2" max="2" width="5.42578125" bestFit="1" customWidth="1"/>
    <col min="3" max="3" width="13.85546875" customWidth="1"/>
    <col min="4" max="4" width="10.42578125" customWidth="1"/>
    <col min="5" max="5" width="17.42578125" customWidth="1"/>
    <col min="6" max="6" width="16.7109375" customWidth="1"/>
    <col min="7" max="7" width="14.7109375" customWidth="1"/>
    <col min="10" max="10" width="12" customWidth="1"/>
    <col min="12" max="12" width="9.5703125" customWidth="1"/>
    <col min="13" max="13" width="12.140625" customWidth="1"/>
    <col min="14" max="14" width="10.42578125" customWidth="1"/>
    <col min="15" max="15" width="12.140625" customWidth="1"/>
    <col min="18" max="18" width="14.42578125" customWidth="1"/>
    <col min="19" max="19" width="10.28515625" customWidth="1"/>
    <col min="20" max="20" width="10.85546875" customWidth="1"/>
    <col min="25" max="25" width="10.42578125" customWidth="1"/>
  </cols>
  <sheetData>
    <row r="1" spans="1:4" x14ac:dyDescent="0.25">
      <c r="A1" s="4" t="s">
        <v>47</v>
      </c>
    </row>
    <row r="4" spans="1:4" x14ac:dyDescent="0.25">
      <c r="A4" t="s">
        <v>225</v>
      </c>
      <c r="C4" s="5"/>
    </row>
    <row r="5" spans="1:4" x14ac:dyDescent="0.25">
      <c r="A5" t="s">
        <v>226</v>
      </c>
      <c r="C5" s="5">
        <v>1</v>
      </c>
    </row>
    <row r="7" spans="1:4" x14ac:dyDescent="0.25">
      <c r="A7" t="s">
        <v>222</v>
      </c>
      <c r="C7" s="5">
        <v>1</v>
      </c>
    </row>
    <row r="8" spans="1:4" x14ac:dyDescent="0.25">
      <c r="A8" t="s">
        <v>223</v>
      </c>
      <c r="C8" s="5">
        <v>1</v>
      </c>
    </row>
    <row r="9" spans="1:4" x14ac:dyDescent="0.25">
      <c r="A9" t="s">
        <v>224</v>
      </c>
      <c r="C9" s="5">
        <v>1</v>
      </c>
    </row>
    <row r="11" spans="1:4" x14ac:dyDescent="0.25">
      <c r="B11" s="5" t="s">
        <v>2</v>
      </c>
      <c r="C11" s="46" t="s">
        <v>221</v>
      </c>
      <c r="D11" s="5" t="s">
        <v>1</v>
      </c>
    </row>
    <row r="17" spans="2:26" x14ac:dyDescent="0.25">
      <c r="I17" s="4"/>
      <c r="X17" s="7"/>
      <c r="Y17" s="7"/>
      <c r="Z17" s="16"/>
    </row>
    <row r="18" spans="2:26" x14ac:dyDescent="0.25">
      <c r="B18" s="17"/>
      <c r="C18" s="17"/>
      <c r="D18" s="4"/>
      <c r="E18" s="17"/>
      <c r="F18" s="17"/>
      <c r="G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2:26" x14ac:dyDescent="0.25">
      <c r="B19" s="7"/>
      <c r="C19" s="7"/>
      <c r="D19" s="7"/>
      <c r="E19" s="7"/>
      <c r="F19" s="3"/>
      <c r="G19" s="7"/>
      <c r="J19" s="7"/>
      <c r="K19" s="7"/>
      <c r="L19" s="7"/>
      <c r="M19" s="7"/>
      <c r="N19" s="7"/>
      <c r="O19" s="3"/>
      <c r="P19" s="18"/>
      <c r="Q19" s="18"/>
      <c r="R19" s="7"/>
      <c r="S19" s="7"/>
      <c r="T19" s="7"/>
      <c r="X19" s="7"/>
      <c r="Y19" s="7"/>
    </row>
    <row r="20" spans="2:26" x14ac:dyDescent="0.25">
      <c r="B20" s="7"/>
      <c r="C20" s="7"/>
      <c r="D20" s="7"/>
      <c r="E20" s="7"/>
      <c r="F20" s="3"/>
      <c r="G20" s="7"/>
      <c r="J20" s="7"/>
      <c r="K20" s="7"/>
      <c r="L20" s="7"/>
      <c r="M20" s="7"/>
      <c r="N20" s="7"/>
      <c r="O20" s="3"/>
      <c r="R20" s="7"/>
      <c r="S20" s="7"/>
      <c r="T20" s="7"/>
      <c r="X20" s="7"/>
      <c r="Y20" s="7"/>
    </row>
    <row r="21" spans="2:26" x14ac:dyDescent="0.25">
      <c r="B21" s="7"/>
      <c r="C21" s="7"/>
      <c r="D21" s="7"/>
      <c r="E21" s="7"/>
      <c r="F21" s="3"/>
      <c r="G21" s="7"/>
      <c r="J21" s="7"/>
      <c r="K21" s="7"/>
      <c r="L21" s="7"/>
      <c r="M21" s="7"/>
      <c r="N21" s="7"/>
      <c r="O21" s="3"/>
      <c r="R21" s="7"/>
      <c r="S21" s="7"/>
      <c r="T21" s="7"/>
      <c r="X21" s="7"/>
      <c r="Y21" s="7"/>
    </row>
    <row r="22" spans="2:26" x14ac:dyDescent="0.25">
      <c r="B22" s="7"/>
      <c r="C22" s="7"/>
      <c r="D22" s="7"/>
      <c r="E22" s="7"/>
      <c r="F22" s="3"/>
      <c r="G22" s="7"/>
      <c r="J22" s="7"/>
      <c r="K22" s="7"/>
      <c r="L22" s="7"/>
      <c r="M22" s="7"/>
      <c r="N22" s="7"/>
      <c r="O22" s="3"/>
      <c r="R22" s="7"/>
      <c r="S22" s="7"/>
      <c r="T22" s="7"/>
      <c r="X22" s="7"/>
      <c r="Y22" s="7"/>
    </row>
    <row r="23" spans="2:26" x14ac:dyDescent="0.25">
      <c r="B23" s="7"/>
      <c r="C23" s="7"/>
      <c r="D23" s="7"/>
      <c r="E23" s="7"/>
      <c r="F23" s="3"/>
      <c r="G23" s="7"/>
      <c r="J23" s="7"/>
      <c r="K23" s="7"/>
      <c r="L23" s="7"/>
      <c r="M23" s="7"/>
      <c r="N23" s="7"/>
      <c r="O23" s="3"/>
      <c r="R23" s="7"/>
      <c r="S23" s="7"/>
      <c r="T23" s="7"/>
      <c r="X23" s="7"/>
      <c r="Y23" s="7"/>
    </row>
    <row r="24" spans="2:26" x14ac:dyDescent="0.25">
      <c r="B24" s="7"/>
      <c r="C24" s="7"/>
      <c r="D24" s="7"/>
      <c r="E24" s="7"/>
      <c r="F24" s="3"/>
      <c r="G24" s="7"/>
      <c r="J24" s="7"/>
      <c r="K24" s="7"/>
      <c r="L24" s="7"/>
      <c r="M24" s="7"/>
      <c r="N24" s="7"/>
      <c r="O24" s="3"/>
      <c r="R24" s="7"/>
      <c r="S24" s="7"/>
      <c r="T24" s="7"/>
      <c r="X24" s="7"/>
      <c r="Y24" s="7"/>
    </row>
    <row r="25" spans="2:26" x14ac:dyDescent="0.25">
      <c r="B25" s="7"/>
      <c r="C25" s="7"/>
      <c r="D25" s="7"/>
      <c r="E25" s="7"/>
      <c r="F25" s="3"/>
      <c r="G25" s="7"/>
      <c r="J25" s="7"/>
      <c r="K25" s="7"/>
      <c r="L25" s="7"/>
      <c r="M25" s="7"/>
      <c r="N25" s="7"/>
      <c r="O25" s="3"/>
      <c r="R25" s="7"/>
      <c r="S25" s="7"/>
      <c r="T25" s="7"/>
      <c r="X25" s="7"/>
      <c r="Y25" s="7"/>
    </row>
    <row r="26" spans="2:26" x14ac:dyDescent="0.25">
      <c r="B26" s="7"/>
      <c r="C26" s="7"/>
      <c r="D26" s="7"/>
      <c r="E26" s="7"/>
      <c r="F26" s="3"/>
      <c r="G26" s="7"/>
      <c r="J26" s="7"/>
      <c r="K26" s="7"/>
      <c r="L26" s="7"/>
      <c r="M26" s="7"/>
      <c r="N26" s="7"/>
      <c r="O26" s="3"/>
      <c r="R26" s="7"/>
      <c r="S26" s="7"/>
      <c r="T26" s="7"/>
      <c r="X26" s="7"/>
      <c r="Y26" s="7"/>
    </row>
    <row r="27" spans="2:26" x14ac:dyDescent="0.25">
      <c r="B27" s="7"/>
      <c r="C27" s="7"/>
      <c r="D27" s="7"/>
      <c r="E27" s="7"/>
      <c r="F27" s="3"/>
      <c r="G27" s="7"/>
      <c r="J27" s="7"/>
      <c r="K27" s="7"/>
      <c r="L27" s="7"/>
      <c r="M27" s="7"/>
      <c r="N27" s="7"/>
      <c r="O27" s="3"/>
      <c r="R27" s="7"/>
      <c r="S27" s="7"/>
      <c r="T27" s="7"/>
      <c r="X27" s="7"/>
      <c r="Y27" s="7"/>
    </row>
    <row r="28" spans="2:26" x14ac:dyDescent="0.25">
      <c r="B28" s="7"/>
      <c r="C28" s="7"/>
      <c r="D28" s="7"/>
      <c r="E28" s="7"/>
      <c r="F28" s="3"/>
      <c r="G28" s="7"/>
      <c r="J28" s="7"/>
      <c r="K28" s="7"/>
      <c r="L28" s="7"/>
      <c r="M28" s="7"/>
      <c r="N28" s="7"/>
      <c r="O28" s="3"/>
      <c r="R28" s="7"/>
      <c r="S28" s="7"/>
      <c r="T28" s="7"/>
      <c r="X28" s="7"/>
      <c r="Y28" s="7"/>
    </row>
    <row r="29" spans="2:26" x14ac:dyDescent="0.25">
      <c r="B29" s="7"/>
      <c r="C29" s="7"/>
      <c r="D29" s="7"/>
      <c r="E29" s="7"/>
      <c r="F29" s="3"/>
      <c r="G29" s="7"/>
      <c r="J29" s="7"/>
      <c r="K29" s="7"/>
      <c r="L29" s="7"/>
      <c r="M29" s="7"/>
      <c r="N29" s="7"/>
      <c r="O29" s="3"/>
      <c r="R29" s="7"/>
      <c r="S29" s="7"/>
      <c r="T29" s="7"/>
      <c r="X29" s="7"/>
      <c r="Y29" s="7"/>
    </row>
    <row r="30" spans="2:26" x14ac:dyDescent="0.25">
      <c r="B30" s="7"/>
      <c r="C30" s="7"/>
      <c r="D30" s="7"/>
      <c r="E30" s="7"/>
      <c r="F30" s="3"/>
      <c r="G30" s="7"/>
      <c r="J30" s="7"/>
      <c r="K30" s="7"/>
      <c r="L30" s="7"/>
      <c r="M30" s="7"/>
      <c r="N30" s="7"/>
      <c r="O30" s="3"/>
      <c r="R30" s="7"/>
      <c r="S30" s="7"/>
      <c r="T30" s="7"/>
      <c r="X30" s="7"/>
      <c r="Y30" s="7"/>
    </row>
    <row r="31" spans="2:26" x14ac:dyDescent="0.25">
      <c r="B31" s="7"/>
      <c r="C31" s="7"/>
      <c r="D31" s="7"/>
      <c r="E31" s="7"/>
      <c r="F31" s="3"/>
      <c r="G31" s="7"/>
      <c r="J31" s="7"/>
      <c r="K31" s="7"/>
      <c r="L31" s="7"/>
      <c r="M31" s="7"/>
      <c r="N31" s="7"/>
      <c r="O31" s="3"/>
      <c r="R31" s="7"/>
      <c r="S31" s="7"/>
      <c r="T31" s="7"/>
      <c r="X31" s="7"/>
      <c r="Y31" s="7"/>
    </row>
    <row r="32" spans="2:26" x14ac:dyDescent="0.25">
      <c r="B32" s="7"/>
      <c r="C32" s="7"/>
      <c r="D32" s="7"/>
      <c r="E32" s="7"/>
      <c r="F32" s="3"/>
      <c r="G32" s="7"/>
      <c r="J32" s="7"/>
      <c r="K32" s="7"/>
      <c r="L32" s="7"/>
      <c r="M32" s="7"/>
      <c r="N32" s="7"/>
      <c r="O32" s="3"/>
      <c r="R32" s="7"/>
      <c r="S32" s="7"/>
      <c r="T32" s="7"/>
      <c r="X32" s="7"/>
      <c r="Y32" s="7"/>
    </row>
    <row r="33" spans="2:25" x14ac:dyDescent="0.25">
      <c r="B33" s="7"/>
      <c r="C33" s="7"/>
      <c r="D33" s="7"/>
      <c r="E33" s="7"/>
      <c r="F33" s="3"/>
      <c r="G33" s="7"/>
      <c r="J33" s="7"/>
      <c r="K33" s="7"/>
      <c r="L33" s="7"/>
      <c r="M33" s="7"/>
      <c r="N33" s="7"/>
      <c r="O33" s="3"/>
      <c r="R33" s="7"/>
      <c r="S33" s="7"/>
      <c r="T33" s="7"/>
      <c r="X33" s="7"/>
      <c r="Y33" s="7"/>
    </row>
    <row r="34" spans="2:25" x14ac:dyDescent="0.25">
      <c r="B34" s="7"/>
      <c r="C34" s="7"/>
      <c r="D34" s="7"/>
      <c r="E34" s="7"/>
      <c r="F34" s="3"/>
      <c r="G34" s="7"/>
      <c r="J34" s="7"/>
      <c r="K34" s="7"/>
      <c r="L34" s="7"/>
      <c r="M34" s="7"/>
      <c r="N34" s="7"/>
      <c r="O34" s="3"/>
      <c r="R34" s="7"/>
      <c r="S34" s="7"/>
      <c r="T34" s="7"/>
      <c r="X34" s="7"/>
      <c r="Y34" s="7"/>
    </row>
    <row r="35" spans="2:25" x14ac:dyDescent="0.25">
      <c r="B35" s="7"/>
      <c r="C35" s="7"/>
      <c r="D35" s="7"/>
      <c r="E35" s="7"/>
      <c r="F35" s="3"/>
      <c r="G35" s="7"/>
      <c r="J35" s="7"/>
      <c r="K35" s="7"/>
      <c r="L35" s="7"/>
      <c r="M35" s="7"/>
      <c r="N35" s="7"/>
      <c r="O35" s="3"/>
      <c r="R35" s="7"/>
      <c r="S35" s="7"/>
      <c r="T35" s="7"/>
      <c r="X35" s="7"/>
      <c r="Y35" s="7"/>
    </row>
    <row r="36" spans="2:25" x14ac:dyDescent="0.25">
      <c r="B36" s="7"/>
      <c r="C36" s="7"/>
      <c r="D36" s="7"/>
      <c r="E36" s="7"/>
      <c r="F36" s="3"/>
      <c r="G36" s="7"/>
      <c r="J36" s="7"/>
      <c r="K36" s="7"/>
      <c r="L36" s="7"/>
      <c r="M36" s="7"/>
      <c r="N36" s="7"/>
      <c r="O36" s="3"/>
      <c r="R36" s="7"/>
      <c r="S36" s="7"/>
      <c r="T36" s="7"/>
      <c r="X36" s="7"/>
      <c r="Y36" s="7"/>
    </row>
    <row r="37" spans="2:25" x14ac:dyDescent="0.25">
      <c r="B37" s="7"/>
      <c r="C37" s="7"/>
      <c r="D37" s="7"/>
      <c r="E37" s="7"/>
      <c r="F37" s="3"/>
      <c r="G37" s="7"/>
      <c r="J37" s="7"/>
      <c r="K37" s="7"/>
      <c r="L37" s="7"/>
      <c r="M37" s="7"/>
      <c r="N37" s="7"/>
      <c r="O37" s="3"/>
      <c r="R37" s="7"/>
      <c r="S37" s="7"/>
      <c r="T37" s="7"/>
      <c r="X37" s="7"/>
      <c r="Y37" s="7"/>
    </row>
    <row r="38" spans="2:25" x14ac:dyDescent="0.25">
      <c r="B38" s="7"/>
      <c r="C38" s="7"/>
      <c r="D38" s="7"/>
      <c r="E38" s="7"/>
      <c r="F38" s="3"/>
      <c r="G38" s="7"/>
      <c r="J38" s="7"/>
      <c r="K38" s="7"/>
      <c r="L38" s="7"/>
      <c r="M38" s="7"/>
      <c r="N38" s="7"/>
      <c r="O38" s="3"/>
      <c r="R38" s="7"/>
      <c r="S38" s="7"/>
      <c r="T38" s="7"/>
      <c r="X38" s="7"/>
      <c r="Y38" s="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76447-3169-4970-8455-42A53068E6A4}">
  <dimension ref="A2:AJ42"/>
  <sheetViews>
    <sheetView workbookViewId="0">
      <selection activeCell="G4" sqref="G4"/>
    </sheetView>
  </sheetViews>
  <sheetFormatPr defaultRowHeight="15" x14ac:dyDescent="0.25"/>
  <cols>
    <col min="1" max="1" width="5.5703125" bestFit="1" customWidth="1"/>
    <col min="2" max="3" width="14.5703125" customWidth="1"/>
    <col min="4" max="4" width="11" bestFit="1" customWidth="1"/>
    <col min="5" max="6" width="11.85546875" customWidth="1"/>
    <col min="7" max="7" width="28.5703125" bestFit="1" customWidth="1"/>
    <col min="8" max="8" width="20.140625" customWidth="1"/>
    <col min="9" max="9" width="10.42578125" customWidth="1"/>
    <col min="10" max="12" width="11.85546875" customWidth="1"/>
    <col min="13" max="13" width="13.85546875" customWidth="1"/>
    <col min="14" max="14" width="10.42578125" customWidth="1"/>
    <col min="15" max="15" width="17.42578125" customWidth="1"/>
    <col min="16" max="16" width="16.7109375" customWidth="1"/>
    <col min="17" max="17" width="14.7109375" customWidth="1"/>
    <col min="20" max="20" width="12" customWidth="1"/>
    <col min="22" max="22" width="9.5703125" customWidth="1"/>
    <col min="23" max="23" width="12.140625" customWidth="1"/>
    <col min="24" max="24" width="10.42578125" customWidth="1"/>
    <col min="25" max="25" width="12.140625" customWidth="1"/>
    <col min="28" max="28" width="14.42578125" customWidth="1"/>
    <col min="29" max="29" width="10.28515625" customWidth="1"/>
    <col min="30" max="30" width="10.85546875" customWidth="1"/>
    <col min="35" max="35" width="10.42578125" customWidth="1"/>
  </cols>
  <sheetData>
    <row r="2" spans="1:10" x14ac:dyDescent="0.25">
      <c r="B2" t="s">
        <v>48</v>
      </c>
      <c r="D2" t="s">
        <v>80</v>
      </c>
      <c r="E2" t="s">
        <v>80</v>
      </c>
      <c r="G2" t="s">
        <v>83</v>
      </c>
      <c r="J2" t="s">
        <v>78</v>
      </c>
    </row>
    <row r="3" spans="1:10" x14ac:dyDescent="0.25">
      <c r="A3" s="4"/>
    </row>
    <row r="4" spans="1:10" x14ac:dyDescent="0.25">
      <c r="A4" s="4" t="s">
        <v>29</v>
      </c>
      <c r="B4" s="23" t="s">
        <v>79</v>
      </c>
      <c r="C4" s="13"/>
      <c r="D4" s="23" t="s">
        <v>81</v>
      </c>
      <c r="E4" s="23" t="s">
        <v>82</v>
      </c>
      <c r="F4" s="13"/>
      <c r="G4" s="13" t="s">
        <v>84</v>
      </c>
      <c r="H4" s="6">
        <f>'Q3 (iii)'!K3</f>
        <v>594.18874793057671</v>
      </c>
      <c r="J4" t="s">
        <v>225</v>
      </c>
    </row>
    <row r="5" spans="1:10" x14ac:dyDescent="0.25">
      <c r="A5">
        <v>1</v>
      </c>
      <c r="B5" s="6">
        <f>'Q3 (i)'!W21</f>
        <v>55.065726550000001</v>
      </c>
      <c r="C5" s="6"/>
      <c r="D5" s="6">
        <f>'Q3 (ii)'!F4</f>
        <v>114.85572395547675</v>
      </c>
      <c r="E5" s="6">
        <f>'Q3 (ii)'!G4</f>
        <v>-59.744055115894561</v>
      </c>
      <c r="F5" s="6"/>
      <c r="G5" s="6" t="s">
        <v>85</v>
      </c>
      <c r="H5" s="6">
        <f>'Q3 (iii)'!L3</f>
        <v>582.05836807889648</v>
      </c>
      <c r="J5" t="s">
        <v>226</v>
      </c>
    </row>
    <row r="6" spans="1:10" x14ac:dyDescent="0.25">
      <c r="A6">
        <v>2</v>
      </c>
      <c r="B6" s="6">
        <f>'Q3 (i)'!W22</f>
        <v>-34.710548717522407</v>
      </c>
      <c r="C6" s="6"/>
      <c r="D6" s="6">
        <f>'Q3 (ii)'!F5</f>
        <v>83.63575935939464</v>
      </c>
      <c r="E6" s="6">
        <f>'Q3 (ii)'!G5</f>
        <v>0</v>
      </c>
      <c r="F6" s="7"/>
      <c r="G6" s="7"/>
      <c r="H6" s="7"/>
    </row>
    <row r="7" spans="1:10" x14ac:dyDescent="0.25">
      <c r="A7">
        <v>3</v>
      </c>
      <c r="B7" s="6">
        <f>'Q3 (i)'!W23</f>
        <v>-29.85418529458094</v>
      </c>
      <c r="C7" s="6"/>
      <c r="D7" s="6">
        <f>'Q3 (ii)'!F6</f>
        <v>56.340113465217996</v>
      </c>
      <c r="E7" s="6">
        <f>'Q3 (ii)'!G6</f>
        <v>0</v>
      </c>
      <c r="F7" s="7"/>
      <c r="G7" s="7"/>
      <c r="H7" s="7"/>
      <c r="J7" t="s">
        <v>222</v>
      </c>
    </row>
    <row r="8" spans="1:10" x14ac:dyDescent="0.25">
      <c r="A8">
        <v>4</v>
      </c>
      <c r="B8" s="6">
        <f>'Q3 (i)'!W24</f>
        <v>-24.179575270396601</v>
      </c>
      <c r="C8" s="6"/>
      <c r="D8" s="6">
        <f>'Q3 (ii)'!F7</f>
        <v>33.882794722585501</v>
      </c>
      <c r="E8" s="6">
        <f>'Q3 (ii)'!G7</f>
        <v>0</v>
      </c>
      <c r="F8" s="7"/>
      <c r="G8" s="7"/>
      <c r="H8" s="7"/>
      <c r="J8" t="s">
        <v>223</v>
      </c>
    </row>
    <row r="9" spans="1:10" x14ac:dyDescent="0.25">
      <c r="A9">
        <v>5</v>
      </c>
      <c r="B9" s="6">
        <f>'Q3 (i)'!W25</f>
        <v>-18.206934013484833</v>
      </c>
      <c r="C9" s="6"/>
      <c r="D9" s="6">
        <f>'Q3 (ii)'!F8</f>
        <v>16.709421579632618</v>
      </c>
      <c r="E9" s="6">
        <f>'Q3 (ii)'!G8</f>
        <v>0</v>
      </c>
      <c r="F9" s="7"/>
      <c r="G9" s="7"/>
      <c r="H9" s="7"/>
      <c r="J9" t="s">
        <v>224</v>
      </c>
    </row>
    <row r="10" spans="1:10" x14ac:dyDescent="0.25">
      <c r="A10">
        <v>6</v>
      </c>
      <c r="B10" s="6">
        <f>'Q3 (i)'!W26</f>
        <v>-12.009907827783181</v>
      </c>
      <c r="C10" s="6"/>
      <c r="D10" s="6">
        <f>'Q3 (ii)'!F9</f>
        <v>5.2065704859072879</v>
      </c>
      <c r="E10" s="6">
        <f>'Q3 (ii)'!G9</f>
        <v>0</v>
      </c>
      <c r="F10" s="7"/>
      <c r="G10" s="7"/>
      <c r="H10" s="7"/>
    </row>
    <row r="11" spans="1:10" x14ac:dyDescent="0.25">
      <c r="A11">
        <v>7</v>
      </c>
      <c r="B11" s="6">
        <f>'Q3 (i)'!W27</f>
        <v>-5.3627676004845064</v>
      </c>
      <c r="C11" s="6"/>
      <c r="D11" s="6">
        <f>'Q3 (ii)'!F10</f>
        <v>0</v>
      </c>
      <c r="E11" s="6">
        <f>'Q3 (ii)'!G10</f>
        <v>0</v>
      </c>
      <c r="F11" s="7"/>
      <c r="G11" s="7"/>
      <c r="H11" s="7"/>
    </row>
    <row r="12" spans="1:10" x14ac:dyDescent="0.25">
      <c r="A12">
        <v>8</v>
      </c>
      <c r="B12" s="6">
        <f>'Q3 (i)'!W28</f>
        <v>107.06983375199327</v>
      </c>
      <c r="C12" s="6"/>
      <c r="D12" s="6">
        <f>'Q3 (ii)'!F11</f>
        <v>0</v>
      </c>
      <c r="E12" s="6">
        <f>'Q3 (ii)'!G11</f>
        <v>107.06983375199327</v>
      </c>
      <c r="F12" s="7"/>
      <c r="G12" s="7"/>
      <c r="H12" s="7"/>
    </row>
    <row r="13" spans="1:10" x14ac:dyDescent="0.25">
      <c r="A13">
        <v>9</v>
      </c>
      <c r="B13" s="6">
        <f>'Q3 (i)'!W29</f>
        <v>116.53727456886533</v>
      </c>
      <c r="C13" s="6"/>
      <c r="D13" s="6">
        <f>'Q3 (ii)'!F12</f>
        <v>0</v>
      </c>
      <c r="E13" s="6">
        <f>'Q3 (ii)'!G12</f>
        <v>116.53727456886533</v>
      </c>
      <c r="F13" s="7"/>
      <c r="G13" s="7"/>
      <c r="H13" s="7"/>
    </row>
    <row r="14" spans="1:10" x14ac:dyDescent="0.25">
      <c r="A14">
        <v>10</v>
      </c>
      <c r="B14" s="6">
        <f>'Q3 (i)'!W30</f>
        <v>126.02083133362825</v>
      </c>
      <c r="C14" s="6"/>
      <c r="D14" s="6">
        <f>'Q3 (ii)'!F13</f>
        <v>0</v>
      </c>
      <c r="E14" s="6">
        <f>'Q3 (ii)'!G13</f>
        <v>126.02083133362825</v>
      </c>
      <c r="F14" s="7"/>
      <c r="G14" s="7"/>
      <c r="H14" s="7"/>
    </row>
    <row r="15" spans="1:10" x14ac:dyDescent="0.25">
      <c r="A15">
        <v>11</v>
      </c>
      <c r="B15" s="6">
        <f>'Q3 (i)'!W31</f>
        <v>135.27912414918848</v>
      </c>
      <c r="C15" s="6"/>
      <c r="D15" s="6">
        <f>'Q3 (ii)'!F14</f>
        <v>0</v>
      </c>
      <c r="E15" s="6">
        <f>'Q3 (ii)'!G14</f>
        <v>135.27912414918848</v>
      </c>
      <c r="F15" s="7"/>
      <c r="G15" s="7"/>
      <c r="H15" s="7"/>
    </row>
    <row r="16" spans="1:10" x14ac:dyDescent="0.25">
      <c r="A16">
        <v>12</v>
      </c>
      <c r="B16" s="6">
        <f>'Q3 (i)'!W32</f>
        <v>144.04738345458108</v>
      </c>
      <c r="C16" s="6"/>
      <c r="D16" s="6">
        <f>'Q3 (ii)'!F15</f>
        <v>0</v>
      </c>
      <c r="E16" s="6">
        <f>'Q3 (ii)'!G15</f>
        <v>144.04738345458108</v>
      </c>
      <c r="F16" s="7"/>
      <c r="G16" s="7"/>
      <c r="H16" s="7"/>
    </row>
    <row r="17" spans="1:36" x14ac:dyDescent="0.25">
      <c r="A17">
        <v>13</v>
      </c>
      <c r="B17" s="6">
        <f>'Q3 (i)'!W33</f>
        <v>151.98148042717673</v>
      </c>
      <c r="C17" s="6"/>
      <c r="D17" s="6">
        <f>'Q3 (ii)'!F16</f>
        <v>0</v>
      </c>
      <c r="E17" s="6">
        <f>'Q3 (ii)'!G16</f>
        <v>151.98148042717673</v>
      </c>
      <c r="F17" s="7"/>
      <c r="G17" s="7"/>
      <c r="H17" s="7"/>
    </row>
    <row r="18" spans="1:36" x14ac:dyDescent="0.25">
      <c r="A18">
        <v>14</v>
      </c>
      <c r="B18" s="6">
        <f>'Q3 (i)'!W34</f>
        <v>158.72596939529092</v>
      </c>
      <c r="C18" s="6"/>
      <c r="D18" s="6">
        <f>'Q3 (ii)'!F17</f>
        <v>0</v>
      </c>
      <c r="E18" s="6">
        <f>'Q3 (ii)'!G17</f>
        <v>158.72596939529092</v>
      </c>
      <c r="F18" s="7"/>
      <c r="G18" s="7"/>
      <c r="H18" s="7"/>
    </row>
    <row r="19" spans="1:36" x14ac:dyDescent="0.25">
      <c r="A19">
        <v>15</v>
      </c>
      <c r="B19" s="6">
        <f>'Q3 (i)'!W35</f>
        <v>163.70001898762416</v>
      </c>
      <c r="C19" s="6"/>
      <c r="D19" s="6">
        <f>'Q3 (ii)'!F18</f>
        <v>0</v>
      </c>
      <c r="E19" s="6">
        <f>'Q3 (ii)'!G18</f>
        <v>163.70001898762416</v>
      </c>
      <c r="F19" s="7"/>
      <c r="G19" s="7"/>
      <c r="H19" s="7"/>
    </row>
    <row r="20" spans="1:36" x14ac:dyDescent="0.25">
      <c r="A20">
        <v>16</v>
      </c>
      <c r="B20" s="6">
        <f>'Q3 (i)'!W36</f>
        <v>166.27090906333075</v>
      </c>
      <c r="C20" s="6"/>
      <c r="D20" s="6">
        <f>'Q3 (ii)'!F19</f>
        <v>0</v>
      </c>
      <c r="E20" s="6">
        <f>'Q3 (ii)'!G19</f>
        <v>166.27090906333075</v>
      </c>
      <c r="F20" s="7"/>
      <c r="G20" s="7"/>
      <c r="H20" s="7"/>
    </row>
    <row r="21" spans="1:36" x14ac:dyDescent="0.25">
      <c r="A21">
        <v>17</v>
      </c>
      <c r="B21" s="6">
        <f>'Q3 (i)'!W37</f>
        <v>165.63054290891091</v>
      </c>
      <c r="C21" s="6"/>
      <c r="D21" s="6">
        <f>'Q3 (ii)'!F20</f>
        <v>0</v>
      </c>
      <c r="E21" s="6">
        <f>'Q3 (ii)'!G20</f>
        <v>165.63054290891091</v>
      </c>
      <c r="F21" s="7"/>
      <c r="G21" s="7"/>
      <c r="H21" s="7"/>
      <c r="AH21" s="7"/>
      <c r="AI21" s="7"/>
      <c r="AJ21" s="16"/>
    </row>
    <row r="22" spans="1:36" x14ac:dyDescent="0.25">
      <c r="A22">
        <v>18</v>
      </c>
      <c r="B22" s="6">
        <f>'Q3 (i)'!W38</f>
        <v>160.66216997705087</v>
      </c>
      <c r="C22" s="19"/>
      <c r="D22" s="6">
        <f>'Q3 (ii)'!F21</f>
        <v>0</v>
      </c>
      <c r="E22" s="6">
        <f>'Q3 (ii)'!G21</f>
        <v>160.66216997705087</v>
      </c>
      <c r="F22" s="20"/>
      <c r="G22" s="20"/>
      <c r="H22" s="20"/>
      <c r="I22" s="17"/>
      <c r="J22" s="17"/>
      <c r="K22" s="17"/>
      <c r="L22" s="17"/>
      <c r="M22" s="17"/>
      <c r="N22" s="4"/>
      <c r="O22" s="17"/>
      <c r="P22" s="17"/>
      <c r="Q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1:36" x14ac:dyDescent="0.25">
      <c r="A23">
        <v>19</v>
      </c>
      <c r="B23" s="6">
        <f>'Q3 (i)'!W39</f>
        <v>149.98190957453542</v>
      </c>
      <c r="C23" s="6"/>
      <c r="D23" s="6">
        <f>'Q3 (ii)'!F22</f>
        <v>0</v>
      </c>
      <c r="E23" s="6">
        <f>'Q3 (ii)'!G22</f>
        <v>149.98190957453542</v>
      </c>
      <c r="F23" s="7"/>
      <c r="G23" s="7"/>
      <c r="H23" s="7"/>
      <c r="I23" s="7"/>
      <c r="J23" s="18"/>
      <c r="K23" s="16"/>
      <c r="L23" s="7"/>
      <c r="M23" s="7"/>
      <c r="N23" s="7"/>
      <c r="O23" s="7"/>
      <c r="P23" s="18"/>
      <c r="Q23" s="15"/>
      <c r="T23" s="7"/>
      <c r="U23" s="7"/>
      <c r="V23" s="7"/>
      <c r="W23" s="7"/>
      <c r="X23" s="7"/>
      <c r="Y23" s="3"/>
      <c r="Z23" s="18"/>
      <c r="AB23" s="7"/>
      <c r="AC23" s="7"/>
      <c r="AD23" s="7"/>
      <c r="AH23" s="7"/>
      <c r="AI23" s="7"/>
    </row>
    <row r="24" spans="1:36" x14ac:dyDescent="0.25">
      <c r="A24">
        <v>20</v>
      </c>
      <c r="B24" s="6">
        <f>'Q3 (i)'!W40</f>
        <v>132.05289311386559</v>
      </c>
      <c r="C24" s="6"/>
      <c r="D24" s="6">
        <f>'Q3 (ii)'!F23</f>
        <v>0</v>
      </c>
      <c r="E24" s="6">
        <f>'Q3 (ii)'!G23</f>
        <v>132.05289311386559</v>
      </c>
      <c r="F24" s="7"/>
      <c r="G24" s="7"/>
      <c r="H24" s="7"/>
      <c r="I24" s="7"/>
      <c r="J24" s="18"/>
      <c r="K24" s="16"/>
      <c r="L24" s="7"/>
      <c r="M24" s="7"/>
      <c r="N24" s="7"/>
      <c r="O24" s="7"/>
      <c r="P24" s="18"/>
      <c r="Q24" s="15"/>
      <c r="T24" s="7"/>
      <c r="U24" s="7"/>
      <c r="V24" s="7"/>
      <c r="W24" s="7"/>
      <c r="X24" s="7"/>
      <c r="Y24" s="3"/>
      <c r="AB24" s="7"/>
      <c r="AC24" s="7"/>
      <c r="AD24" s="7"/>
      <c r="AH24" s="7"/>
      <c r="AI24" s="7"/>
    </row>
    <row r="25" spans="1:36" x14ac:dyDescent="0.25">
      <c r="I25" s="7"/>
      <c r="J25" s="18"/>
      <c r="K25" s="16"/>
      <c r="L25" s="7"/>
      <c r="M25" s="7"/>
      <c r="N25" s="7"/>
      <c r="O25" s="7"/>
      <c r="P25" s="18"/>
      <c r="Q25" s="15"/>
      <c r="T25" s="7"/>
      <c r="U25" s="7"/>
      <c r="V25" s="7"/>
      <c r="W25" s="7"/>
      <c r="X25" s="7"/>
      <c r="Y25" s="3"/>
      <c r="AB25" s="7"/>
      <c r="AC25" s="7"/>
      <c r="AD25" s="7"/>
      <c r="AH25" s="7"/>
      <c r="AI25" s="7"/>
    </row>
    <row r="26" spans="1:36" x14ac:dyDescent="0.25">
      <c r="I26" s="7"/>
      <c r="J26" s="18"/>
      <c r="K26" s="16"/>
      <c r="L26" s="7"/>
      <c r="M26" s="7"/>
      <c r="N26" s="7"/>
      <c r="O26" s="7"/>
      <c r="P26" s="18"/>
      <c r="Q26" s="15"/>
      <c r="T26" s="7"/>
      <c r="U26" s="7"/>
      <c r="V26" s="7"/>
      <c r="W26" s="7"/>
      <c r="X26" s="7"/>
      <c r="Y26" s="3"/>
      <c r="AB26" s="7"/>
      <c r="AC26" s="7"/>
      <c r="AD26" s="7"/>
      <c r="AH26" s="7"/>
      <c r="AI26" s="7"/>
    </row>
    <row r="27" spans="1:36" x14ac:dyDescent="0.25">
      <c r="I27" s="7"/>
      <c r="J27" s="18"/>
      <c r="K27" s="16"/>
      <c r="L27" s="7"/>
      <c r="M27" s="7"/>
      <c r="N27" s="7"/>
      <c r="O27" s="7"/>
      <c r="P27" s="18"/>
      <c r="Q27" s="15"/>
      <c r="T27" s="7"/>
      <c r="U27" s="7"/>
      <c r="V27" s="7"/>
      <c r="W27" s="7"/>
      <c r="X27" s="7"/>
      <c r="Y27" s="3"/>
      <c r="AB27" s="7"/>
      <c r="AC27" s="7"/>
      <c r="AD27" s="7"/>
      <c r="AH27" s="7"/>
      <c r="AI27" s="7"/>
    </row>
    <row r="28" spans="1:36" x14ac:dyDescent="0.25">
      <c r="I28" s="7"/>
      <c r="J28" s="18"/>
      <c r="K28" s="16"/>
      <c r="L28" s="7"/>
      <c r="M28" s="7"/>
      <c r="N28" s="7"/>
      <c r="O28" s="7"/>
      <c r="P28" s="18"/>
      <c r="Q28" s="15"/>
      <c r="T28" s="7"/>
      <c r="U28" s="7"/>
      <c r="V28" s="7"/>
      <c r="W28" s="7"/>
      <c r="X28" s="7"/>
      <c r="Y28" s="3"/>
      <c r="AB28" s="7"/>
      <c r="AC28" s="7"/>
      <c r="AD28" s="7"/>
      <c r="AH28" s="7"/>
      <c r="AI28" s="7"/>
    </row>
    <row r="29" spans="1:36" x14ac:dyDescent="0.25">
      <c r="I29" s="7"/>
      <c r="J29" s="18"/>
      <c r="K29" s="16"/>
      <c r="L29" s="7"/>
      <c r="M29" s="7"/>
      <c r="N29" s="7"/>
      <c r="O29" s="7"/>
      <c r="P29" s="18"/>
      <c r="Q29" s="15"/>
      <c r="T29" s="7"/>
      <c r="U29" s="7"/>
      <c r="V29" s="7"/>
      <c r="W29" s="7"/>
      <c r="X29" s="7"/>
      <c r="Y29" s="3"/>
      <c r="AB29" s="7"/>
      <c r="AC29" s="7"/>
      <c r="AD29" s="7"/>
      <c r="AH29" s="7"/>
      <c r="AI29" s="7"/>
    </row>
    <row r="30" spans="1:36" x14ac:dyDescent="0.25">
      <c r="I30" s="7"/>
      <c r="J30" s="18"/>
      <c r="K30" s="16"/>
      <c r="L30" s="7"/>
      <c r="M30" s="7"/>
      <c r="N30" s="7"/>
      <c r="O30" s="7"/>
      <c r="P30" s="18"/>
      <c r="Q30" s="15"/>
      <c r="T30" s="7"/>
      <c r="U30" s="7"/>
      <c r="V30" s="7"/>
      <c r="W30" s="7"/>
      <c r="X30" s="7"/>
      <c r="Y30" s="3"/>
      <c r="AB30" s="7"/>
      <c r="AC30" s="7"/>
      <c r="AD30" s="7"/>
      <c r="AH30" s="7"/>
      <c r="AI30" s="7"/>
    </row>
    <row r="31" spans="1:36" x14ac:dyDescent="0.25">
      <c r="I31" s="7"/>
      <c r="J31" s="18"/>
      <c r="K31" s="16"/>
      <c r="L31" s="7"/>
      <c r="M31" s="7"/>
      <c r="N31" s="7"/>
      <c r="O31" s="7"/>
      <c r="P31" s="18"/>
      <c r="Q31" s="15"/>
      <c r="T31" s="7"/>
      <c r="U31" s="7"/>
      <c r="V31" s="7"/>
      <c r="W31" s="7"/>
      <c r="X31" s="7"/>
      <c r="Y31" s="3"/>
      <c r="AB31" s="7"/>
      <c r="AC31" s="7"/>
      <c r="AD31" s="7"/>
      <c r="AH31" s="7"/>
      <c r="AI31" s="7"/>
    </row>
    <row r="32" spans="1:36" x14ac:dyDescent="0.25">
      <c r="I32" s="7"/>
      <c r="J32" s="18"/>
      <c r="K32" s="16"/>
      <c r="L32" s="7"/>
      <c r="M32" s="7"/>
      <c r="N32" s="7"/>
      <c r="O32" s="7"/>
      <c r="P32" s="18"/>
      <c r="Q32" s="15"/>
      <c r="T32" s="7"/>
      <c r="U32" s="7"/>
      <c r="V32" s="7"/>
      <c r="W32" s="7"/>
      <c r="X32" s="7"/>
      <c r="Y32" s="3"/>
      <c r="AB32" s="7"/>
      <c r="AC32" s="7"/>
      <c r="AD32" s="7"/>
      <c r="AH32" s="7"/>
      <c r="AI32" s="7"/>
    </row>
    <row r="33" spans="9:35" x14ac:dyDescent="0.25">
      <c r="I33" s="7"/>
      <c r="J33" s="18"/>
      <c r="K33" s="16"/>
      <c r="L33" s="7"/>
      <c r="M33" s="7"/>
      <c r="N33" s="7"/>
      <c r="O33" s="7"/>
      <c r="P33" s="18"/>
      <c r="Q33" s="15"/>
      <c r="T33" s="7"/>
      <c r="U33" s="7"/>
      <c r="V33" s="7"/>
      <c r="W33" s="7"/>
      <c r="X33" s="7"/>
      <c r="Y33" s="3"/>
      <c r="AB33" s="7"/>
      <c r="AC33" s="7"/>
      <c r="AD33" s="7"/>
      <c r="AH33" s="7"/>
      <c r="AI33" s="7"/>
    </row>
    <row r="34" spans="9:35" x14ac:dyDescent="0.25">
      <c r="I34" s="7"/>
      <c r="J34" s="18"/>
      <c r="K34" s="16"/>
      <c r="L34" s="7"/>
      <c r="M34" s="7"/>
      <c r="N34" s="7"/>
      <c r="O34" s="7"/>
      <c r="P34" s="18"/>
      <c r="Q34" s="15"/>
      <c r="T34" s="7"/>
      <c r="U34" s="7"/>
      <c r="V34" s="7"/>
      <c r="W34" s="7"/>
      <c r="X34" s="7"/>
      <c r="Y34" s="3"/>
      <c r="AB34" s="7"/>
      <c r="AC34" s="7"/>
      <c r="AD34" s="7"/>
      <c r="AH34" s="7"/>
      <c r="AI34" s="7"/>
    </row>
    <row r="35" spans="9:35" x14ac:dyDescent="0.25">
      <c r="I35" s="7"/>
      <c r="J35" s="18"/>
      <c r="K35" s="16"/>
      <c r="L35" s="7"/>
      <c r="M35" s="7"/>
      <c r="N35" s="7"/>
      <c r="O35" s="7"/>
      <c r="P35" s="18"/>
      <c r="Q35" s="15"/>
      <c r="T35" s="7"/>
      <c r="U35" s="7"/>
      <c r="V35" s="7"/>
      <c r="W35" s="7"/>
      <c r="X35" s="7"/>
      <c r="Y35" s="3"/>
      <c r="AB35" s="7"/>
      <c r="AC35" s="7"/>
      <c r="AD35" s="7"/>
      <c r="AH35" s="7"/>
      <c r="AI35" s="7"/>
    </row>
    <row r="36" spans="9:35" x14ac:dyDescent="0.25">
      <c r="I36" s="7"/>
      <c r="J36" s="18"/>
      <c r="K36" s="16"/>
      <c r="L36" s="7"/>
      <c r="M36" s="7"/>
      <c r="N36" s="7"/>
      <c r="O36" s="7"/>
      <c r="P36" s="18"/>
      <c r="Q36" s="15"/>
      <c r="T36" s="7"/>
      <c r="U36" s="7"/>
      <c r="V36" s="7"/>
      <c r="W36" s="7"/>
      <c r="X36" s="7"/>
      <c r="Y36" s="3"/>
      <c r="AB36" s="7"/>
      <c r="AC36" s="7"/>
      <c r="AD36" s="7"/>
      <c r="AH36" s="7"/>
      <c r="AI36" s="7"/>
    </row>
    <row r="37" spans="9:35" x14ac:dyDescent="0.25">
      <c r="I37" s="7"/>
      <c r="J37" s="18"/>
      <c r="K37" s="16"/>
      <c r="L37" s="7"/>
      <c r="M37" s="7"/>
      <c r="N37" s="7"/>
      <c r="O37" s="7"/>
      <c r="P37" s="18"/>
      <c r="Q37" s="15"/>
      <c r="T37" s="7"/>
      <c r="U37" s="7"/>
      <c r="V37" s="7"/>
      <c r="W37" s="7"/>
      <c r="X37" s="7"/>
      <c r="Y37" s="3"/>
      <c r="AB37" s="7"/>
      <c r="AC37" s="7"/>
      <c r="AD37" s="7"/>
      <c r="AH37" s="7"/>
      <c r="AI37" s="7"/>
    </row>
    <row r="38" spans="9:35" x14ac:dyDescent="0.25">
      <c r="I38" s="7"/>
      <c r="J38" s="18"/>
      <c r="K38" s="16"/>
      <c r="L38" s="7"/>
      <c r="M38" s="7"/>
      <c r="N38" s="7"/>
      <c r="O38" s="7"/>
      <c r="P38" s="18"/>
      <c r="Q38" s="15"/>
      <c r="T38" s="7"/>
      <c r="U38" s="7"/>
      <c r="V38" s="7"/>
      <c r="W38" s="7"/>
      <c r="X38" s="7"/>
      <c r="Y38" s="3"/>
      <c r="AB38" s="7"/>
      <c r="AC38" s="7"/>
      <c r="AD38" s="7"/>
      <c r="AH38" s="7"/>
      <c r="AI38" s="7"/>
    </row>
    <row r="39" spans="9:35" x14ac:dyDescent="0.25">
      <c r="I39" s="7"/>
      <c r="J39" s="18"/>
      <c r="K39" s="16"/>
      <c r="L39" s="7"/>
      <c r="M39" s="7"/>
      <c r="N39" s="7"/>
      <c r="O39" s="7"/>
      <c r="P39" s="18"/>
      <c r="Q39" s="15"/>
      <c r="T39" s="7"/>
      <c r="U39" s="7"/>
      <c r="V39" s="7"/>
      <c r="W39" s="7"/>
      <c r="X39" s="7"/>
      <c r="Y39" s="3"/>
      <c r="AB39" s="7"/>
      <c r="AC39" s="7"/>
      <c r="AD39" s="7"/>
      <c r="AH39" s="7"/>
      <c r="AI39" s="7"/>
    </row>
    <row r="40" spans="9:35" x14ac:dyDescent="0.25">
      <c r="I40" s="7"/>
      <c r="J40" s="18"/>
      <c r="K40" s="16"/>
      <c r="L40" s="7"/>
      <c r="M40" s="7"/>
      <c r="N40" s="7"/>
      <c r="O40" s="7"/>
      <c r="P40" s="18"/>
      <c r="Q40" s="15"/>
      <c r="T40" s="7"/>
      <c r="U40" s="7"/>
      <c r="V40" s="7"/>
      <c r="W40" s="7"/>
      <c r="X40" s="7"/>
      <c r="Y40" s="3"/>
      <c r="AB40" s="7"/>
      <c r="AC40" s="7"/>
      <c r="AD40" s="7"/>
      <c r="AH40" s="7"/>
      <c r="AI40" s="7"/>
    </row>
    <row r="41" spans="9:35" x14ac:dyDescent="0.25">
      <c r="I41" s="7"/>
      <c r="J41" s="18"/>
      <c r="K41" s="16"/>
      <c r="L41" s="7"/>
      <c r="M41" s="7"/>
      <c r="N41" s="7"/>
      <c r="O41" s="7"/>
      <c r="P41" s="18"/>
      <c r="Q41" s="15"/>
      <c r="T41" s="7"/>
      <c r="U41" s="7"/>
      <c r="V41" s="7"/>
      <c r="W41" s="7"/>
      <c r="X41" s="7"/>
      <c r="Y41" s="3"/>
      <c r="AB41" s="7"/>
      <c r="AC41" s="7"/>
      <c r="AD41" s="7"/>
      <c r="AH41" s="7"/>
      <c r="AI41" s="7"/>
    </row>
    <row r="42" spans="9:35" x14ac:dyDescent="0.25">
      <c r="I42" s="7"/>
      <c r="J42" s="18"/>
      <c r="K42" s="16"/>
      <c r="L42" s="7"/>
      <c r="M42" s="7"/>
      <c r="N42" s="7"/>
      <c r="O42" s="7"/>
      <c r="P42" s="18"/>
      <c r="Q42" s="15"/>
      <c r="T42" s="7"/>
      <c r="U42" s="7"/>
      <c r="V42" s="7"/>
      <c r="W42" s="7"/>
      <c r="X42" s="7"/>
      <c r="Y42" s="3"/>
      <c r="AB42" s="7"/>
      <c r="AC42" s="7"/>
      <c r="AD42" s="7"/>
      <c r="AH42" s="7"/>
      <c r="AI4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11BE0-70AF-4518-903A-1F8E157CC05F}">
  <dimension ref="A2:L55"/>
  <sheetViews>
    <sheetView topLeftCell="A41" zoomScale="90" zoomScaleNormal="90" workbookViewId="0">
      <selection activeCell="A52" sqref="A52"/>
    </sheetView>
  </sheetViews>
  <sheetFormatPr defaultRowHeight="15" x14ac:dyDescent="0.25"/>
  <cols>
    <col min="2" max="2" width="11.28515625" customWidth="1"/>
    <col min="3" max="3" width="15.28515625" customWidth="1"/>
    <col min="4" max="4" width="6.5703125" bestFit="1" customWidth="1"/>
    <col min="5" max="5" width="15.85546875" customWidth="1"/>
    <col min="6" max="6" width="13.85546875" customWidth="1"/>
    <col min="7" max="7" width="11.5703125" customWidth="1"/>
    <col min="8" max="8" width="10.7109375" bestFit="1" customWidth="1"/>
    <col min="9" max="9" width="11.85546875" customWidth="1"/>
    <col min="10" max="10" width="12.140625" customWidth="1"/>
  </cols>
  <sheetData>
    <row r="2" spans="1:12" ht="18" x14ac:dyDescent="0.35">
      <c r="A2" t="s">
        <v>109</v>
      </c>
      <c r="B2" s="1">
        <v>0.1142</v>
      </c>
    </row>
    <row r="3" spans="1:12" ht="18" x14ac:dyDescent="0.35">
      <c r="A3" t="s">
        <v>110</v>
      </c>
      <c r="B3" s="1">
        <v>8.72E-2</v>
      </c>
    </row>
    <row r="5" spans="1:12" x14ac:dyDescent="0.25">
      <c r="A5" t="s">
        <v>111</v>
      </c>
      <c r="G5" t="s">
        <v>112</v>
      </c>
      <c r="H5" t="s">
        <v>113</v>
      </c>
      <c r="I5" s="47">
        <f>(100-100*G13)/(100*SUM(G9:G13))</f>
        <v>0.103501326259947</v>
      </c>
      <c r="J5" s="11" t="s">
        <v>89</v>
      </c>
    </row>
    <row r="7" spans="1:12" s="9" customFormat="1" x14ac:dyDescent="0.25">
      <c r="B7" s="48" t="s">
        <v>114</v>
      </c>
      <c r="C7" s="48" t="s">
        <v>89</v>
      </c>
      <c r="D7" s="48"/>
      <c r="E7" s="48" t="s">
        <v>89</v>
      </c>
      <c r="F7" s="48"/>
      <c r="I7" s="49">
        <v>0.103501326259947</v>
      </c>
      <c r="J7" s="9" t="s">
        <v>144</v>
      </c>
    </row>
    <row r="8" spans="1:12" ht="63" x14ac:dyDescent="0.35">
      <c r="A8" s="10" t="s">
        <v>115</v>
      </c>
      <c r="B8" s="10" t="s">
        <v>116</v>
      </c>
      <c r="C8" s="8" t="s">
        <v>117</v>
      </c>
      <c r="D8" s="8" t="s">
        <v>118</v>
      </c>
      <c r="E8" s="8" t="s">
        <v>119</v>
      </c>
      <c r="F8" s="50" t="s">
        <v>218</v>
      </c>
      <c r="G8" s="8" t="s">
        <v>120</v>
      </c>
      <c r="I8" s="17" t="s">
        <v>212</v>
      </c>
      <c r="J8" s="8" t="s">
        <v>213</v>
      </c>
    </row>
    <row r="9" spans="1:12" x14ac:dyDescent="0.25">
      <c r="A9">
        <v>1</v>
      </c>
      <c r="B9" s="3">
        <f>'Q1 Base'!B5</f>
        <v>90.91</v>
      </c>
      <c r="C9" s="51">
        <f>(100/B9)^(1/A9)-1</f>
        <v>9.9989000109999004E-2</v>
      </c>
      <c r="D9" s="52">
        <v>0</v>
      </c>
      <c r="E9" s="53">
        <f>C9</f>
        <v>9.9989000109999004E-2</v>
      </c>
      <c r="F9" s="54">
        <f>C9</f>
        <v>9.9989000109999004E-2</v>
      </c>
      <c r="G9" s="55">
        <f t="shared" ref="G9:G28" si="0">(1+C9)^-A9</f>
        <v>0.90909999999999991</v>
      </c>
      <c r="I9">
        <f>$I$7*G9</f>
        <v>9.4093055702917802E-2</v>
      </c>
      <c r="L9" s="5"/>
    </row>
    <row r="10" spans="1:12" x14ac:dyDescent="0.25">
      <c r="A10">
        <v>2</v>
      </c>
      <c r="B10" s="3">
        <f>'Q1 Base'!B6</f>
        <v>82.57</v>
      </c>
      <c r="C10" s="51">
        <f t="shared" ref="C10:C28" si="1">(100/B10)^(1/A10)-1</f>
        <v>0.10049698660952067</v>
      </c>
      <c r="D10" s="52">
        <v>1</v>
      </c>
      <c r="E10" s="53">
        <f>B9/B10-1</f>
        <v>0.10100520770255539</v>
      </c>
      <c r="F10" s="54">
        <f>((1+C10)^A10)/((1+C9)^A9)-1</f>
        <v>0.10100520770255539</v>
      </c>
      <c r="G10" s="55">
        <f t="shared" si="0"/>
        <v>0.82569999999999999</v>
      </c>
      <c r="I10">
        <f t="shared" ref="I10:I12" si="2">$I$7*G10</f>
        <v>8.5461045092838236E-2</v>
      </c>
    </row>
    <row r="11" spans="1:12" x14ac:dyDescent="0.25">
      <c r="A11">
        <v>3</v>
      </c>
      <c r="B11" s="3">
        <f>'Q1 Base'!B7</f>
        <v>74.86</v>
      </c>
      <c r="C11" s="51">
        <f t="shared" si="1"/>
        <v>0.10132811395814234</v>
      </c>
      <c r="D11" s="52">
        <v>2</v>
      </c>
      <c r="E11" s="53">
        <f t="shared" ref="E11:E28" si="3">B10/B11-1</f>
        <v>0.10299225220411423</v>
      </c>
      <c r="F11" s="54">
        <f>((1+C11)^A11)/((1+C10)^A10)-1</f>
        <v>0.1029922522041149</v>
      </c>
      <c r="G11" s="55">
        <f t="shared" si="0"/>
        <v>0.74859999999999971</v>
      </c>
      <c r="I11">
        <f t="shared" si="2"/>
        <v>7.7481092838196292E-2</v>
      </c>
    </row>
    <row r="12" spans="1:12" x14ac:dyDescent="0.25">
      <c r="A12">
        <v>4</v>
      </c>
      <c r="B12" s="3">
        <f>'Q1 Base'!B8</f>
        <v>67.680000000000007</v>
      </c>
      <c r="C12" s="51">
        <f t="shared" si="1"/>
        <v>0.10251602973189833</v>
      </c>
      <c r="D12" s="52">
        <v>3</v>
      </c>
      <c r="E12" s="53">
        <f>B11/B12-1</f>
        <v>0.10608747044917255</v>
      </c>
      <c r="F12" s="54">
        <f t="shared" ref="F12:F28" si="4">((1+C12)^A12)/((1+C11)^A11)-1</f>
        <v>0.10608747044917233</v>
      </c>
      <c r="G12" s="55">
        <f t="shared" si="0"/>
        <v>0.67679999999999985</v>
      </c>
      <c r="I12">
        <f t="shared" si="2"/>
        <v>7.0049697612732109E-2</v>
      </c>
    </row>
    <row r="13" spans="1:12" x14ac:dyDescent="0.25">
      <c r="A13">
        <v>5</v>
      </c>
      <c r="B13" s="3">
        <f>'Q1 Base'!B9</f>
        <v>60.98</v>
      </c>
      <c r="C13" s="51">
        <f>(100/B13)^(1/A13)-1</f>
        <v>0.1039833308637288</v>
      </c>
      <c r="D13" s="52">
        <v>4</v>
      </c>
      <c r="E13" s="53">
        <f t="shared" si="3"/>
        <v>0.10987208920957703</v>
      </c>
      <c r="F13" s="54">
        <f t="shared" si="4"/>
        <v>0.10987208920957703</v>
      </c>
      <c r="G13" s="55">
        <f t="shared" si="0"/>
        <v>0.6097999999999999</v>
      </c>
      <c r="I13">
        <f>$I$7*G13</f>
        <v>6.3115108753315663E-2</v>
      </c>
      <c r="J13" s="55">
        <f>G13</f>
        <v>0.6097999999999999</v>
      </c>
    </row>
    <row r="14" spans="1:12" x14ac:dyDescent="0.25">
      <c r="A14">
        <v>6</v>
      </c>
      <c r="B14" s="3">
        <f>'Q1 Base'!B10</f>
        <v>54.79</v>
      </c>
      <c r="C14" s="51">
        <f t="shared" si="1"/>
        <v>0.10547718318448918</v>
      </c>
      <c r="D14" s="52">
        <v>5</v>
      </c>
      <c r="E14" s="53">
        <f t="shared" si="3"/>
        <v>0.11297682058769842</v>
      </c>
      <c r="F14" s="54">
        <f t="shared" si="4"/>
        <v>0.11297682058769798</v>
      </c>
      <c r="G14" s="55">
        <f t="shared" si="0"/>
        <v>0.54790000000000005</v>
      </c>
    </row>
    <row r="15" spans="1:12" x14ac:dyDescent="0.25">
      <c r="A15">
        <v>7</v>
      </c>
      <c r="B15" s="3">
        <f>'Q1 Base'!B11</f>
        <v>49.14</v>
      </c>
      <c r="C15" s="51">
        <f t="shared" si="1"/>
        <v>0.10682941540031821</v>
      </c>
      <c r="D15" s="52">
        <v>6</v>
      </c>
      <c r="E15" s="53">
        <f t="shared" si="3"/>
        <v>0.11497761497761494</v>
      </c>
      <c r="F15" s="54">
        <f t="shared" si="4"/>
        <v>0.11497761497761516</v>
      </c>
      <c r="G15" s="55">
        <f t="shared" si="0"/>
        <v>0.4914</v>
      </c>
      <c r="I15" t="s">
        <v>214</v>
      </c>
      <c r="J15" s="55">
        <f>SUM(I9:I13,J13)</f>
        <v>1</v>
      </c>
    </row>
    <row r="16" spans="1:12" x14ac:dyDescent="0.25">
      <c r="A16">
        <v>8</v>
      </c>
      <c r="B16" s="3">
        <f>'Q1 Base'!B12</f>
        <v>43.99</v>
      </c>
      <c r="C16" s="51">
        <f t="shared" si="1"/>
        <v>0.10810459238401848</v>
      </c>
      <c r="D16" s="52">
        <v>7</v>
      </c>
      <c r="E16" s="53">
        <f t="shared" si="3"/>
        <v>0.11707206183223451</v>
      </c>
      <c r="F16" s="54">
        <f t="shared" si="4"/>
        <v>0.11707206183223406</v>
      </c>
      <c r="G16" s="55">
        <f t="shared" si="0"/>
        <v>0.43990000000000024</v>
      </c>
      <c r="I16" t="s">
        <v>215</v>
      </c>
    </row>
    <row r="17" spans="1:9" x14ac:dyDescent="0.25">
      <c r="A17">
        <v>9</v>
      </c>
      <c r="B17" s="3">
        <f>B13/(1+B2)^4</f>
        <v>39.56715310994403</v>
      </c>
      <c r="C17" s="51">
        <f>(100/B17)^(1/A17)-1</f>
        <v>0.10851245569059786</v>
      </c>
      <c r="D17" s="52">
        <v>8</v>
      </c>
      <c r="E17" s="53">
        <f t="shared" si="3"/>
        <v>0.11178077123128727</v>
      </c>
      <c r="F17" s="54">
        <f t="shared" si="4"/>
        <v>0.11178077123128749</v>
      </c>
      <c r="G17" s="55">
        <f t="shared" si="0"/>
        <v>0.39567153109944037</v>
      </c>
      <c r="I17" t="s">
        <v>216</v>
      </c>
    </row>
    <row r="18" spans="1:9" x14ac:dyDescent="0.25">
      <c r="A18">
        <v>10</v>
      </c>
      <c r="B18" s="3">
        <f>'Q1 Base'!B14</f>
        <v>35.83</v>
      </c>
      <c r="C18" s="51">
        <f t="shared" si="1"/>
        <v>0.10809072358741356</v>
      </c>
      <c r="D18" s="52">
        <v>9</v>
      </c>
      <c r="E18" s="53">
        <f t="shared" si="3"/>
        <v>0.10430234747262168</v>
      </c>
      <c r="F18" s="54">
        <f t="shared" si="4"/>
        <v>0.10430234747262213</v>
      </c>
      <c r="G18" s="55">
        <f t="shared" si="0"/>
        <v>0.3582999999999999</v>
      </c>
    </row>
    <row r="19" spans="1:9" x14ac:dyDescent="0.25">
      <c r="A19">
        <v>11</v>
      </c>
      <c r="B19" s="3">
        <f>'Q1 Base'!B15</f>
        <v>32.869999999999997</v>
      </c>
      <c r="C19" s="51">
        <f t="shared" si="1"/>
        <v>0.10643855199876073</v>
      </c>
      <c r="D19" s="52">
        <v>10</v>
      </c>
      <c r="E19" s="53">
        <f t="shared" si="3"/>
        <v>9.0051718892607324E-2</v>
      </c>
      <c r="F19" s="54">
        <f t="shared" si="4"/>
        <v>9.0051718892607546E-2</v>
      </c>
      <c r="G19" s="55">
        <f t="shared" si="0"/>
        <v>0.32869999999999983</v>
      </c>
    </row>
    <row r="20" spans="1:9" x14ac:dyDescent="0.25">
      <c r="A20">
        <v>12</v>
      </c>
      <c r="B20" s="3">
        <f>'Q1 Base'!B16</f>
        <v>30.44</v>
      </c>
      <c r="C20" s="51">
        <f t="shared" si="1"/>
        <v>0.10419627908975704</v>
      </c>
      <c r="D20" s="52">
        <v>11</v>
      </c>
      <c r="E20" s="53">
        <f t="shared" si="3"/>
        <v>7.9829172141918425E-2</v>
      </c>
      <c r="F20" s="54">
        <f t="shared" si="4"/>
        <v>7.9829172141919313E-2</v>
      </c>
      <c r="G20" s="55">
        <f t="shared" si="0"/>
        <v>0.30439999999999962</v>
      </c>
    </row>
    <row r="21" spans="1:9" x14ac:dyDescent="0.25">
      <c r="A21">
        <v>13</v>
      </c>
      <c r="B21" s="3">
        <f>B16/EXP(5*B3)</f>
        <v>28.444713763899991</v>
      </c>
      <c r="C21" s="51">
        <f t="shared" si="1"/>
        <v>0.10153900363998436</v>
      </c>
      <c r="D21" s="52">
        <v>12</v>
      </c>
      <c r="E21" s="53">
        <f t="shared" si="3"/>
        <v>7.0146117576063816E-2</v>
      </c>
      <c r="F21" s="54">
        <f t="shared" si="4"/>
        <v>7.0146117576061373E-2</v>
      </c>
      <c r="G21" s="55">
        <f t="shared" si="0"/>
        <v>0.2844471376390002</v>
      </c>
    </row>
    <row r="22" spans="1:9" x14ac:dyDescent="0.25">
      <c r="A22">
        <v>14</v>
      </c>
      <c r="B22" s="3">
        <f>'Q1 Base'!B18</f>
        <v>26.84</v>
      </c>
      <c r="C22" s="51">
        <f t="shared" si="1"/>
        <v>9.8503004722467091E-2</v>
      </c>
      <c r="D22" s="52">
        <v>13</v>
      </c>
      <c r="E22" s="53">
        <f t="shared" si="3"/>
        <v>5.9788143215349976E-2</v>
      </c>
      <c r="F22" s="54">
        <f t="shared" si="4"/>
        <v>5.9788143215349976E-2</v>
      </c>
      <c r="G22" s="55">
        <f t="shared" si="0"/>
        <v>0.26840000000000025</v>
      </c>
    </row>
    <row r="23" spans="1:9" x14ac:dyDescent="0.25">
      <c r="A23">
        <v>15</v>
      </c>
      <c r="B23" s="3">
        <f>'Q1 Base'!B19</f>
        <v>25.56</v>
      </c>
      <c r="C23" s="51">
        <f t="shared" si="1"/>
        <v>9.5206325279951098E-2</v>
      </c>
      <c r="D23" s="52">
        <v>14</v>
      </c>
      <c r="E23" s="53">
        <f t="shared" si="3"/>
        <v>5.007824726134591E-2</v>
      </c>
      <c r="F23" s="54">
        <f t="shared" si="4"/>
        <v>5.0078247261346354E-2</v>
      </c>
      <c r="G23" s="55">
        <f t="shared" si="0"/>
        <v>0.2556000000000001</v>
      </c>
    </row>
    <row r="24" spans="1:9" x14ac:dyDescent="0.25">
      <c r="A24">
        <v>16</v>
      </c>
      <c r="B24" s="3">
        <f>'Q1 Base'!B20</f>
        <v>24.46</v>
      </c>
      <c r="C24" s="51">
        <f t="shared" si="1"/>
        <v>9.1997066521045889E-2</v>
      </c>
      <c r="D24" s="52">
        <v>15</v>
      </c>
      <c r="E24" s="53">
        <f t="shared" si="3"/>
        <v>4.4971381847914937E-2</v>
      </c>
      <c r="F24" s="54">
        <f t="shared" si="4"/>
        <v>4.4971381847914493E-2</v>
      </c>
      <c r="G24" s="55">
        <f t="shared" si="0"/>
        <v>0.24460000000000021</v>
      </c>
    </row>
    <row r="25" spans="1:9" x14ac:dyDescent="0.25">
      <c r="A25">
        <v>17</v>
      </c>
      <c r="B25" s="3">
        <f>'Q1 Base'!B21</f>
        <v>23.44</v>
      </c>
      <c r="C25" s="51">
        <f t="shared" si="1"/>
        <v>8.9083848163775459E-2</v>
      </c>
      <c r="D25" s="52">
        <v>16</v>
      </c>
      <c r="E25" s="53">
        <f t="shared" si="3"/>
        <v>4.351535836177467E-2</v>
      </c>
      <c r="F25" s="54">
        <f t="shared" si="4"/>
        <v>4.3515358361774448E-2</v>
      </c>
      <c r="G25" s="55">
        <f t="shared" si="0"/>
        <v>0.23440000000000025</v>
      </c>
    </row>
    <row r="26" spans="1:9" x14ac:dyDescent="0.25">
      <c r="A26">
        <v>18</v>
      </c>
      <c r="B26" s="3">
        <f>'Q1 Base'!B22</f>
        <v>22.48</v>
      </c>
      <c r="C26" s="51">
        <f t="shared" si="1"/>
        <v>8.6453932658615118E-2</v>
      </c>
      <c r="D26" s="52">
        <v>17</v>
      </c>
      <c r="E26" s="53">
        <f t="shared" si="3"/>
        <v>4.2704626334519658E-2</v>
      </c>
      <c r="F26" s="54">
        <f t="shared" si="4"/>
        <v>4.2704626334520324E-2</v>
      </c>
      <c r="G26" s="55">
        <f t="shared" si="0"/>
        <v>0.22480000000000008</v>
      </c>
    </row>
    <row r="27" spans="1:9" x14ac:dyDescent="0.25">
      <c r="A27">
        <v>19</v>
      </c>
      <c r="B27" s="3">
        <f>'Q1 Base'!B23</f>
        <v>21.6</v>
      </c>
      <c r="C27" s="51">
        <f t="shared" si="1"/>
        <v>8.3998671471314568E-2</v>
      </c>
      <c r="D27" s="52">
        <v>18</v>
      </c>
      <c r="E27" s="53">
        <f t="shared" si="3"/>
        <v>4.0740740740740744E-2</v>
      </c>
      <c r="F27" s="54">
        <f t="shared" si="4"/>
        <v>4.0740740740740522E-2</v>
      </c>
      <c r="G27" s="55">
        <f t="shared" si="0"/>
        <v>0.21600000000000011</v>
      </c>
    </row>
    <row r="28" spans="1:9" x14ac:dyDescent="0.25">
      <c r="A28">
        <v>20</v>
      </c>
      <c r="B28" s="3">
        <f>'Q1 Base'!B24</f>
        <v>20.76</v>
      </c>
      <c r="C28" s="51">
        <f t="shared" si="1"/>
        <v>8.177921441803826E-2</v>
      </c>
      <c r="D28" s="52">
        <v>19</v>
      </c>
      <c r="E28" s="53">
        <f t="shared" si="3"/>
        <v>4.0462427745664664E-2</v>
      </c>
      <c r="F28" s="54">
        <f t="shared" si="4"/>
        <v>4.0462427745663554E-2</v>
      </c>
      <c r="G28" s="55">
        <f t="shared" si="0"/>
        <v>0.20760000000000037</v>
      </c>
    </row>
    <row r="32" spans="1:9" x14ac:dyDescent="0.25">
      <c r="A32" t="s">
        <v>5</v>
      </c>
    </row>
    <row r="39" spans="1:10" x14ac:dyDescent="0.25">
      <c r="J39" s="5"/>
    </row>
    <row r="40" spans="1:10" x14ac:dyDescent="0.25">
      <c r="J40" s="5"/>
    </row>
    <row r="41" spans="1:10" x14ac:dyDescent="0.25">
      <c r="J41" s="5"/>
    </row>
    <row r="42" spans="1:10" x14ac:dyDescent="0.25">
      <c r="J42" s="5"/>
    </row>
    <row r="44" spans="1:10" x14ac:dyDescent="0.25">
      <c r="A44" t="s">
        <v>121</v>
      </c>
    </row>
    <row r="47" spans="1:10" x14ac:dyDescent="0.25">
      <c r="A47" t="s">
        <v>122</v>
      </c>
    </row>
    <row r="48" spans="1:10" x14ac:dyDescent="0.25">
      <c r="A48" t="s">
        <v>123</v>
      </c>
    </row>
    <row r="50" spans="1:1" x14ac:dyDescent="0.25">
      <c r="A50" t="s">
        <v>183</v>
      </c>
    </row>
    <row r="51" spans="1:1" x14ac:dyDescent="0.25">
      <c r="A51" t="s">
        <v>124</v>
      </c>
    </row>
    <row r="52" spans="1:1" x14ac:dyDescent="0.25">
      <c r="A52" t="s">
        <v>237</v>
      </c>
    </row>
    <row r="53" spans="1:1" x14ac:dyDescent="0.25">
      <c r="A53" t="s">
        <v>184</v>
      </c>
    </row>
    <row r="54" spans="1:1" x14ac:dyDescent="0.25">
      <c r="A54" t="s">
        <v>217</v>
      </c>
    </row>
    <row r="55" spans="1:1" x14ac:dyDescent="0.25">
      <c r="A55" t="s">
        <v>125</v>
      </c>
    </row>
  </sheetData>
  <phoneticPr fontId="19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2458E-F711-45DA-8388-CACDF7C20B6B}">
  <dimension ref="A1:D8"/>
  <sheetViews>
    <sheetView workbookViewId="0"/>
  </sheetViews>
  <sheetFormatPr defaultRowHeight="15" x14ac:dyDescent="0.25"/>
  <sheetData>
    <row r="1" spans="1:4" x14ac:dyDescent="0.25">
      <c r="A1" t="s">
        <v>3</v>
      </c>
      <c r="B1" t="s">
        <v>126</v>
      </c>
      <c r="D1" s="3">
        <f>'Q1 (i)(ii)(iii)(iv)'!B17</f>
        <v>39.56715310994403</v>
      </c>
    </row>
    <row r="2" spans="1:4" x14ac:dyDescent="0.25">
      <c r="B2" t="s">
        <v>127</v>
      </c>
      <c r="D2" s="3">
        <f>'Q1 (i)(ii)(iii)(iv)'!B21</f>
        <v>28.444713763899991</v>
      </c>
    </row>
    <row r="4" spans="1:4" x14ac:dyDescent="0.25">
      <c r="A4" t="s">
        <v>4</v>
      </c>
      <c r="B4" t="s">
        <v>128</v>
      </c>
    </row>
    <row r="6" spans="1:4" x14ac:dyDescent="0.25">
      <c r="A6" t="s">
        <v>5</v>
      </c>
      <c r="B6" t="s">
        <v>128</v>
      </c>
    </row>
    <row r="8" spans="1:4" x14ac:dyDescent="0.25">
      <c r="A8" t="s">
        <v>112</v>
      </c>
      <c r="B8" t="s">
        <v>129</v>
      </c>
      <c r="D8" s="1">
        <f>'Q1 (i)(ii)(iii)(iv)'!I5</f>
        <v>0.103501326259947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8118B-7ADF-4667-BC8A-F18D35CB875B}">
  <dimension ref="A2:N50"/>
  <sheetViews>
    <sheetView workbookViewId="0">
      <selection activeCell="I11" sqref="I11"/>
    </sheetView>
  </sheetViews>
  <sheetFormatPr defaultRowHeight="15" x14ac:dyDescent="0.25"/>
  <cols>
    <col min="13" max="13" width="11.5703125" bestFit="1" customWidth="1"/>
  </cols>
  <sheetData>
    <row r="2" spans="1:14" x14ac:dyDescent="0.25">
      <c r="A2" s="80" t="s">
        <v>130</v>
      </c>
      <c r="B2" s="80"/>
      <c r="C2" s="80"/>
      <c r="E2" s="80" t="s">
        <v>131</v>
      </c>
      <c r="F2" s="80"/>
      <c r="G2" s="80"/>
      <c r="L2" s="14" t="s">
        <v>132</v>
      </c>
    </row>
    <row r="3" spans="1:14" ht="18" x14ac:dyDescent="0.35">
      <c r="A3" s="4"/>
      <c r="B3" s="80" t="s">
        <v>133</v>
      </c>
      <c r="C3" s="80"/>
      <c r="E3" s="4"/>
      <c r="F3" s="80" t="s">
        <v>133</v>
      </c>
      <c r="G3" s="80"/>
      <c r="L3" s="14" t="s">
        <v>134</v>
      </c>
      <c r="M3" s="2">
        <v>0.04</v>
      </c>
      <c r="N3" t="s">
        <v>11</v>
      </c>
    </row>
    <row r="4" spans="1:14" x14ac:dyDescent="0.25">
      <c r="A4" s="4" t="s">
        <v>10</v>
      </c>
      <c r="B4" s="4" t="s">
        <v>135</v>
      </c>
      <c r="C4" s="4" t="s">
        <v>136</v>
      </c>
      <c r="E4" s="4" t="s">
        <v>10</v>
      </c>
      <c r="F4" s="4" t="s">
        <v>135</v>
      </c>
      <c r="G4" s="4" t="s">
        <v>136</v>
      </c>
      <c r="L4" s="14" t="s">
        <v>137</v>
      </c>
      <c r="M4" s="2">
        <v>0.05</v>
      </c>
      <c r="N4" t="s">
        <v>11</v>
      </c>
    </row>
    <row r="5" spans="1:14" x14ac:dyDescent="0.25">
      <c r="A5" s="9">
        <v>20</v>
      </c>
      <c r="B5">
        <v>4.7199999999999998E-4</v>
      </c>
      <c r="C5">
        <v>4.2200000000000001E-4</v>
      </c>
      <c r="E5" s="9">
        <v>55</v>
      </c>
      <c r="F5">
        <v>4.764E-3</v>
      </c>
      <c r="G5">
        <v>4.7530000000000003E-3</v>
      </c>
      <c r="L5" s="14"/>
    </row>
    <row r="6" spans="1:14" x14ac:dyDescent="0.25">
      <c r="A6" s="9">
        <v>21</v>
      </c>
      <c r="B6">
        <v>4.6900000000000002E-4</v>
      </c>
      <c r="C6">
        <v>4.1899999999999999E-4</v>
      </c>
      <c r="E6" s="9">
        <v>56</v>
      </c>
      <c r="F6">
        <v>5.2620000000000002E-3</v>
      </c>
      <c r="G6">
        <v>5.2509999999999996E-3</v>
      </c>
      <c r="L6" s="14"/>
    </row>
    <row r="7" spans="1:14" x14ac:dyDescent="0.25">
      <c r="A7" s="9">
        <v>22</v>
      </c>
      <c r="B7">
        <v>4.7399999999999997E-4</v>
      </c>
      <c r="C7">
        <v>4.3399999999999998E-4</v>
      </c>
      <c r="E7" s="9">
        <v>57</v>
      </c>
      <c r="F7">
        <v>5.7019999999999996E-3</v>
      </c>
      <c r="G7">
        <v>5.692E-3</v>
      </c>
      <c r="L7" s="14" t="s">
        <v>138</v>
      </c>
      <c r="M7" s="31">
        <v>100000</v>
      </c>
    </row>
    <row r="8" spans="1:14" x14ac:dyDescent="0.25">
      <c r="A8" s="9">
        <v>23</v>
      </c>
      <c r="B8">
        <v>5.0000000000000001E-4</v>
      </c>
      <c r="C8">
        <v>4.8000000000000001E-4</v>
      </c>
      <c r="E8" s="9">
        <v>58</v>
      </c>
      <c r="F8">
        <v>6.1879999999999999E-3</v>
      </c>
      <c r="G8">
        <v>6.1659999999999996E-3</v>
      </c>
      <c r="L8" s="32" t="s">
        <v>139</v>
      </c>
      <c r="M8" s="31">
        <v>12000</v>
      </c>
      <c r="N8" s="33" t="s">
        <v>140</v>
      </c>
    </row>
    <row r="9" spans="1:14" x14ac:dyDescent="0.25">
      <c r="A9" s="9">
        <v>24</v>
      </c>
      <c r="B9">
        <v>5.1800000000000001E-4</v>
      </c>
      <c r="C9">
        <v>4.9799999999999996E-4</v>
      </c>
      <c r="E9" s="9">
        <v>59</v>
      </c>
      <c r="F9">
        <v>6.7790000000000003E-3</v>
      </c>
      <c r="G9">
        <v>6.757E-3</v>
      </c>
      <c r="L9" s="32" t="s">
        <v>141</v>
      </c>
      <c r="M9" s="2">
        <v>0.5</v>
      </c>
      <c r="N9" s="33" t="s">
        <v>142</v>
      </c>
    </row>
    <row r="10" spans="1:14" x14ac:dyDescent="0.25">
      <c r="A10" s="9">
        <v>25</v>
      </c>
      <c r="B10">
        <v>5.7399999999999997E-4</v>
      </c>
      <c r="C10">
        <v>5.5400000000000002E-4</v>
      </c>
      <c r="E10" s="9">
        <v>60</v>
      </c>
      <c r="F10">
        <v>7.7409999999999996E-3</v>
      </c>
      <c r="G10">
        <v>7.7190000000000002E-3</v>
      </c>
    </row>
    <row r="11" spans="1:14" x14ac:dyDescent="0.25">
      <c r="A11" s="9">
        <v>26</v>
      </c>
      <c r="B11">
        <v>5.31E-4</v>
      </c>
      <c r="C11">
        <v>5.1099999999999995E-4</v>
      </c>
      <c r="E11" s="9">
        <v>61</v>
      </c>
      <c r="F11">
        <v>8.3389999999999992E-3</v>
      </c>
      <c r="G11">
        <v>8.3169999999999997E-3</v>
      </c>
      <c r="I11" t="s">
        <v>236</v>
      </c>
    </row>
    <row r="12" spans="1:14" x14ac:dyDescent="0.25">
      <c r="A12" s="9">
        <v>27</v>
      </c>
      <c r="B12">
        <v>5.53E-4</v>
      </c>
      <c r="C12">
        <v>5.3300000000000005E-4</v>
      </c>
      <c r="E12" s="9">
        <v>62</v>
      </c>
      <c r="F12">
        <v>9.077E-3</v>
      </c>
      <c r="G12">
        <v>9.0550000000000005E-3</v>
      </c>
    </row>
    <row r="13" spans="1:14" x14ac:dyDescent="0.25">
      <c r="A13" s="9">
        <v>28</v>
      </c>
      <c r="B13">
        <v>6.2600000000000004E-4</v>
      </c>
      <c r="C13">
        <v>6.0499999999999996E-4</v>
      </c>
      <c r="E13" s="9">
        <v>63</v>
      </c>
      <c r="F13">
        <v>1.022E-2</v>
      </c>
      <c r="G13">
        <v>1.0198E-2</v>
      </c>
      <c r="I13" t="s">
        <v>143</v>
      </c>
    </row>
    <row r="14" spans="1:14" x14ac:dyDescent="0.25">
      <c r="A14" s="9">
        <v>29</v>
      </c>
      <c r="B14">
        <v>6.1399999999999996E-4</v>
      </c>
      <c r="C14">
        <v>5.9400000000000002E-4</v>
      </c>
      <c r="E14" s="9">
        <v>64</v>
      </c>
      <c r="F14">
        <v>1.1154000000000001E-2</v>
      </c>
      <c r="G14">
        <v>1.1132E-2</v>
      </c>
    </row>
    <row r="15" spans="1:14" x14ac:dyDescent="0.25">
      <c r="A15" s="9">
        <v>30</v>
      </c>
      <c r="B15">
        <v>6.5499999999999998E-4</v>
      </c>
      <c r="C15">
        <v>6.3500000000000004E-4</v>
      </c>
      <c r="E15" s="9">
        <v>65</v>
      </c>
      <c r="F15">
        <v>1.1978000000000001E-2</v>
      </c>
      <c r="G15">
        <v>1.1955E-2</v>
      </c>
    </row>
    <row r="16" spans="1:14" x14ac:dyDescent="0.25">
      <c r="A16" s="9">
        <v>31</v>
      </c>
      <c r="B16">
        <v>6.9999999999999999E-4</v>
      </c>
      <c r="C16">
        <v>6.8000000000000005E-4</v>
      </c>
      <c r="E16" s="9">
        <v>66</v>
      </c>
      <c r="F16">
        <v>1.3053E-2</v>
      </c>
      <c r="G16">
        <v>1.303E-2</v>
      </c>
    </row>
    <row r="17" spans="1:7" x14ac:dyDescent="0.25">
      <c r="A17" s="9">
        <v>32</v>
      </c>
      <c r="B17">
        <v>8.3900000000000001E-4</v>
      </c>
      <c r="C17">
        <v>8.1800000000000004E-4</v>
      </c>
      <c r="E17" s="9">
        <v>67</v>
      </c>
      <c r="F17">
        <v>1.4088E-2</v>
      </c>
      <c r="G17">
        <v>1.4064E-2</v>
      </c>
    </row>
    <row r="18" spans="1:7" x14ac:dyDescent="0.25">
      <c r="A18" s="9">
        <v>33</v>
      </c>
      <c r="B18">
        <v>8.25E-4</v>
      </c>
      <c r="C18">
        <v>8.0500000000000005E-4</v>
      </c>
      <c r="E18" s="9">
        <v>68</v>
      </c>
      <c r="F18">
        <v>1.5207999999999999E-2</v>
      </c>
      <c r="G18">
        <v>1.5184E-2</v>
      </c>
    </row>
    <row r="19" spans="1:7" x14ac:dyDescent="0.25">
      <c r="A19" s="9">
        <v>34</v>
      </c>
      <c r="B19">
        <v>8.9300000000000002E-4</v>
      </c>
      <c r="C19">
        <v>8.7299999999999997E-4</v>
      </c>
      <c r="E19" s="9">
        <v>69</v>
      </c>
      <c r="F19">
        <v>1.6573000000000001E-2</v>
      </c>
      <c r="G19">
        <v>1.6560999999999999E-2</v>
      </c>
    </row>
    <row r="20" spans="1:7" x14ac:dyDescent="0.25">
      <c r="A20" s="9">
        <v>35</v>
      </c>
      <c r="B20">
        <v>9.5200000000000005E-4</v>
      </c>
      <c r="C20">
        <v>9.3199999999999999E-4</v>
      </c>
      <c r="E20" s="9">
        <v>70</v>
      </c>
      <c r="F20">
        <v>1.8266000000000001E-2</v>
      </c>
      <c r="G20">
        <v>1.8253999999999999E-2</v>
      </c>
    </row>
    <row r="21" spans="1:7" x14ac:dyDescent="0.25">
      <c r="A21" s="9">
        <v>36</v>
      </c>
      <c r="B21">
        <v>1.0950000000000001E-3</v>
      </c>
      <c r="C21">
        <v>1.075E-3</v>
      </c>
      <c r="E21" s="9">
        <v>71</v>
      </c>
      <c r="F21">
        <v>2.0729000000000001E-2</v>
      </c>
      <c r="G21">
        <v>2.0715999999999998E-2</v>
      </c>
    </row>
    <row r="22" spans="1:7" x14ac:dyDescent="0.25">
      <c r="A22" s="9">
        <v>37</v>
      </c>
      <c r="B22">
        <v>1.09E-3</v>
      </c>
      <c r="C22">
        <v>1.07E-3</v>
      </c>
      <c r="E22" s="9">
        <v>72</v>
      </c>
      <c r="F22">
        <v>2.2803E-2</v>
      </c>
      <c r="G22">
        <v>2.2790999999999999E-2</v>
      </c>
    </row>
    <row r="23" spans="1:7" x14ac:dyDescent="0.25">
      <c r="A23" s="9">
        <v>38</v>
      </c>
      <c r="B23">
        <v>1.155E-3</v>
      </c>
      <c r="C23">
        <v>1.1349999999999999E-3</v>
      </c>
      <c r="E23" s="9">
        <v>73</v>
      </c>
      <c r="F23">
        <v>2.5225999999999998E-2</v>
      </c>
      <c r="G23">
        <v>2.5212999999999999E-2</v>
      </c>
    </row>
    <row r="24" spans="1:7" x14ac:dyDescent="0.25">
      <c r="A24" s="9">
        <v>39</v>
      </c>
      <c r="B24">
        <v>1.2780000000000001E-3</v>
      </c>
      <c r="C24">
        <v>1.258E-3</v>
      </c>
      <c r="E24" s="9">
        <v>74</v>
      </c>
      <c r="F24">
        <v>2.8684000000000001E-2</v>
      </c>
      <c r="G24">
        <v>2.8656999999999998E-2</v>
      </c>
    </row>
    <row r="25" spans="1:7" x14ac:dyDescent="0.25">
      <c r="A25" s="9">
        <v>40</v>
      </c>
      <c r="B25">
        <v>1.4040000000000001E-3</v>
      </c>
      <c r="C25">
        <v>1.3829999999999999E-3</v>
      </c>
      <c r="E25" s="9">
        <v>75</v>
      </c>
      <c r="F25">
        <v>3.2051000000000003E-2</v>
      </c>
      <c r="G25">
        <v>3.2023999999999997E-2</v>
      </c>
    </row>
    <row r="26" spans="1:7" x14ac:dyDescent="0.25">
      <c r="A26" s="9">
        <v>41</v>
      </c>
      <c r="B26">
        <v>1.5920000000000001E-3</v>
      </c>
      <c r="C26">
        <v>1.5709999999999999E-3</v>
      </c>
      <c r="E26" s="9">
        <v>76</v>
      </c>
      <c r="F26">
        <v>3.5624000000000003E-2</v>
      </c>
      <c r="G26">
        <v>3.5595000000000002E-2</v>
      </c>
    </row>
    <row r="27" spans="1:7" x14ac:dyDescent="0.25">
      <c r="A27" s="9">
        <v>42</v>
      </c>
      <c r="B27">
        <v>1.6750000000000001E-3</v>
      </c>
      <c r="C27">
        <v>1.6540000000000001E-3</v>
      </c>
      <c r="E27" s="9">
        <v>77</v>
      </c>
      <c r="F27">
        <v>3.8908999999999999E-2</v>
      </c>
      <c r="G27">
        <v>3.8878999999999997E-2</v>
      </c>
    </row>
    <row r="28" spans="1:7" x14ac:dyDescent="0.25">
      <c r="A28" s="9">
        <v>43</v>
      </c>
      <c r="B28">
        <v>1.8649999999999999E-3</v>
      </c>
      <c r="C28">
        <v>1.8450000000000001E-3</v>
      </c>
      <c r="E28" s="9">
        <v>78</v>
      </c>
      <c r="F28">
        <v>4.3244999999999999E-2</v>
      </c>
      <c r="G28">
        <v>4.3215000000000003E-2</v>
      </c>
    </row>
    <row r="29" spans="1:7" x14ac:dyDescent="0.25">
      <c r="A29" s="9">
        <v>44</v>
      </c>
      <c r="B29">
        <v>1.9849999999999998E-3</v>
      </c>
      <c r="C29">
        <v>1.9650000000000002E-3</v>
      </c>
      <c r="E29" s="9">
        <v>79</v>
      </c>
      <c r="F29">
        <v>4.7893999999999999E-2</v>
      </c>
      <c r="G29">
        <v>4.7862000000000002E-2</v>
      </c>
    </row>
    <row r="30" spans="1:7" x14ac:dyDescent="0.25">
      <c r="A30" s="9">
        <v>45</v>
      </c>
      <c r="B30">
        <v>2.078E-3</v>
      </c>
      <c r="C30">
        <v>2.0569999999999998E-3</v>
      </c>
      <c r="E30" s="9">
        <v>80</v>
      </c>
      <c r="F30">
        <v>5.4127000000000002E-2</v>
      </c>
      <c r="G30">
        <v>5.4077E-2</v>
      </c>
    </row>
    <row r="31" spans="1:7" x14ac:dyDescent="0.25">
      <c r="A31" s="9">
        <v>46</v>
      </c>
      <c r="B31">
        <v>2.2269999999999998E-3</v>
      </c>
      <c r="C31">
        <v>2.2060000000000001E-3</v>
      </c>
      <c r="E31" s="9">
        <v>81</v>
      </c>
      <c r="F31">
        <v>6.0229999999999999E-2</v>
      </c>
      <c r="G31">
        <v>6.0177000000000001E-2</v>
      </c>
    </row>
    <row r="32" spans="1:7" x14ac:dyDescent="0.25">
      <c r="A32" s="9">
        <v>47</v>
      </c>
      <c r="B32">
        <v>2.604E-3</v>
      </c>
      <c r="C32">
        <v>2.5829999999999998E-3</v>
      </c>
      <c r="E32" s="9">
        <v>82</v>
      </c>
      <c r="F32">
        <v>6.8265000000000006E-2</v>
      </c>
      <c r="G32">
        <v>6.8209000000000006E-2</v>
      </c>
    </row>
    <row r="33" spans="1:7" x14ac:dyDescent="0.25">
      <c r="A33" s="9">
        <v>48</v>
      </c>
      <c r="B33">
        <v>2.6589999999999999E-3</v>
      </c>
      <c r="C33">
        <v>2.6389999999999999E-3</v>
      </c>
      <c r="E33" s="9">
        <v>83</v>
      </c>
      <c r="F33">
        <v>7.7331999999999998E-2</v>
      </c>
      <c r="G33">
        <v>7.7311000000000005E-2</v>
      </c>
    </row>
    <row r="34" spans="1:7" x14ac:dyDescent="0.25">
      <c r="A34" s="9">
        <v>49</v>
      </c>
      <c r="B34">
        <v>2.967E-3</v>
      </c>
      <c r="C34">
        <v>2.9459999999999998E-3</v>
      </c>
      <c r="E34" s="9">
        <v>84</v>
      </c>
      <c r="F34">
        <v>8.6568999999999993E-2</v>
      </c>
      <c r="G34">
        <v>8.6525000000000005E-2</v>
      </c>
    </row>
    <row r="35" spans="1:7" x14ac:dyDescent="0.25">
      <c r="A35" s="9">
        <v>50</v>
      </c>
      <c r="B35">
        <v>3.2820000000000002E-3</v>
      </c>
      <c r="C35">
        <v>3.261E-3</v>
      </c>
      <c r="E35" s="9">
        <v>85</v>
      </c>
      <c r="F35">
        <v>9.6814999999999998E-2</v>
      </c>
      <c r="G35">
        <v>9.6767000000000006E-2</v>
      </c>
    </row>
    <row r="36" spans="1:7" x14ac:dyDescent="0.25">
      <c r="A36" s="9">
        <v>51</v>
      </c>
      <c r="B36">
        <v>3.3509999999999998E-3</v>
      </c>
      <c r="C36">
        <v>3.3300000000000001E-3</v>
      </c>
      <c r="E36" s="9">
        <v>86</v>
      </c>
      <c r="F36">
        <v>0.108183</v>
      </c>
      <c r="G36">
        <v>0.108129</v>
      </c>
    </row>
    <row r="37" spans="1:7" x14ac:dyDescent="0.25">
      <c r="A37" s="9">
        <v>52</v>
      </c>
      <c r="B37">
        <v>3.64E-3</v>
      </c>
      <c r="C37">
        <v>3.6189999999999998E-3</v>
      </c>
      <c r="E37" s="9">
        <v>87</v>
      </c>
      <c r="F37">
        <v>0.12103700000000001</v>
      </c>
      <c r="G37">
        <v>0.120977</v>
      </c>
    </row>
    <row r="38" spans="1:7" x14ac:dyDescent="0.25">
      <c r="A38" s="9">
        <v>53</v>
      </c>
      <c r="B38">
        <v>3.8570000000000002E-3</v>
      </c>
      <c r="C38">
        <v>3.836E-3</v>
      </c>
      <c r="E38" s="9">
        <v>88</v>
      </c>
      <c r="F38">
        <v>0.13539200000000001</v>
      </c>
      <c r="G38">
        <v>0.135324</v>
      </c>
    </row>
    <row r="39" spans="1:7" x14ac:dyDescent="0.25">
      <c r="A39" s="9">
        <v>54</v>
      </c>
      <c r="B39">
        <v>4.2139999999999999E-3</v>
      </c>
      <c r="C39">
        <v>4.2030000000000001E-3</v>
      </c>
      <c r="E39" s="9">
        <v>89</v>
      </c>
      <c r="F39">
        <v>0.149865</v>
      </c>
      <c r="G39">
        <v>0.149787</v>
      </c>
    </row>
    <row r="40" spans="1:7" x14ac:dyDescent="0.25">
      <c r="A40" s="9">
        <v>55</v>
      </c>
      <c r="B40">
        <v>4.764E-3</v>
      </c>
      <c r="C40">
        <v>4.7530000000000003E-3</v>
      </c>
      <c r="E40" s="9">
        <v>90</v>
      </c>
      <c r="F40">
        <v>0.16759099999999999</v>
      </c>
      <c r="G40">
        <v>0.16749900000000001</v>
      </c>
    </row>
    <row r="41" spans="1:7" x14ac:dyDescent="0.25">
      <c r="A41" s="9">
        <v>56</v>
      </c>
      <c r="B41">
        <v>5.2620000000000002E-3</v>
      </c>
      <c r="C41">
        <v>5.2509999999999996E-3</v>
      </c>
      <c r="E41" s="9">
        <v>91</v>
      </c>
      <c r="F41">
        <v>0.184063</v>
      </c>
      <c r="G41">
        <v>0.183952</v>
      </c>
    </row>
    <row r="42" spans="1:7" x14ac:dyDescent="0.25">
      <c r="A42" s="9">
        <v>57</v>
      </c>
      <c r="B42">
        <v>5.7019999999999996E-3</v>
      </c>
      <c r="C42">
        <v>5.692E-3</v>
      </c>
      <c r="E42" s="9">
        <v>92</v>
      </c>
      <c r="F42">
        <v>0.19984499999999999</v>
      </c>
      <c r="G42">
        <v>0.199708</v>
      </c>
    </row>
    <row r="43" spans="1:7" x14ac:dyDescent="0.25">
      <c r="A43" s="9">
        <v>58</v>
      </c>
      <c r="B43">
        <v>6.1879999999999999E-3</v>
      </c>
      <c r="C43">
        <v>6.1659999999999996E-3</v>
      </c>
      <c r="E43" s="9">
        <v>93</v>
      </c>
      <c r="F43">
        <v>0.21992200000000001</v>
      </c>
      <c r="G43">
        <v>0.219752</v>
      </c>
    </row>
    <row r="44" spans="1:7" x14ac:dyDescent="0.25">
      <c r="A44" s="9">
        <v>59</v>
      </c>
      <c r="B44">
        <v>6.7790000000000003E-3</v>
      </c>
      <c r="C44">
        <v>6.757E-3</v>
      </c>
      <c r="E44" s="9">
        <v>94</v>
      </c>
      <c r="F44">
        <v>0.24093600000000001</v>
      </c>
      <c r="G44">
        <v>0.24071699999999999</v>
      </c>
    </row>
    <row r="45" spans="1:7" x14ac:dyDescent="0.25">
      <c r="A45" s="9">
        <v>60</v>
      </c>
      <c r="B45">
        <v>7.7409999999999996E-3</v>
      </c>
      <c r="C45">
        <v>7.7190000000000002E-3</v>
      </c>
      <c r="E45" s="9">
        <v>95</v>
      </c>
      <c r="F45">
        <v>0.26672299999999999</v>
      </c>
      <c r="G45">
        <v>0.26643499999999998</v>
      </c>
    </row>
    <row r="46" spans="1:7" x14ac:dyDescent="0.25">
      <c r="A46" s="9">
        <v>61</v>
      </c>
      <c r="B46">
        <v>8.3389999999999992E-3</v>
      </c>
      <c r="C46">
        <v>8.3169999999999997E-3</v>
      </c>
      <c r="E46" s="9">
        <v>96</v>
      </c>
      <c r="F46">
        <v>0.28633399999999998</v>
      </c>
      <c r="G46">
        <v>0.285941</v>
      </c>
    </row>
    <row r="47" spans="1:7" x14ac:dyDescent="0.25">
      <c r="A47" s="9">
        <v>62</v>
      </c>
      <c r="B47">
        <v>9.077E-3</v>
      </c>
      <c r="C47">
        <v>9.0550000000000005E-3</v>
      </c>
      <c r="E47" s="9">
        <v>97</v>
      </c>
      <c r="F47">
        <v>0.30397099999999999</v>
      </c>
      <c r="G47">
        <v>0.303421</v>
      </c>
    </row>
    <row r="48" spans="1:7" x14ac:dyDescent="0.25">
      <c r="A48" s="9">
        <v>63</v>
      </c>
      <c r="B48">
        <v>1.022E-2</v>
      </c>
      <c r="C48">
        <v>1.0198E-2</v>
      </c>
      <c r="E48" s="9">
        <v>98</v>
      </c>
      <c r="F48">
        <v>0.30996899999999999</v>
      </c>
      <c r="G48">
        <v>0.30917899999999998</v>
      </c>
    </row>
    <row r="49" spans="1:7" x14ac:dyDescent="0.25">
      <c r="A49" s="9">
        <v>64</v>
      </c>
      <c r="B49">
        <v>1.1154000000000001E-2</v>
      </c>
      <c r="C49">
        <v>1.1132E-2</v>
      </c>
      <c r="E49" s="9">
        <v>99</v>
      </c>
      <c r="F49">
        <v>0.34224700000000002</v>
      </c>
      <c r="G49">
        <v>0.34110200000000002</v>
      </c>
    </row>
    <row r="50" spans="1:7" x14ac:dyDescent="0.25">
      <c r="A50" s="9">
        <v>65</v>
      </c>
      <c r="B50">
        <v>1.1978000000000001E-2</v>
      </c>
      <c r="C50">
        <v>1.1955E-2</v>
      </c>
      <c r="E50" s="9">
        <v>100</v>
      </c>
      <c r="F50">
        <v>1</v>
      </c>
      <c r="G50">
        <v>1</v>
      </c>
    </row>
  </sheetData>
  <mergeCells count="4">
    <mergeCell ref="A2:C2"/>
    <mergeCell ref="E2:G2"/>
    <mergeCell ref="B3:C3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64A90-0F3E-4D9E-ABEC-527844EDA854}">
  <dimension ref="A1:AT42"/>
  <sheetViews>
    <sheetView topLeftCell="O1" workbookViewId="0">
      <selection activeCell="AA4" sqref="AA4"/>
    </sheetView>
  </sheetViews>
  <sheetFormatPr defaultRowHeight="15" x14ac:dyDescent="0.25"/>
  <cols>
    <col min="10" max="10" width="9.5703125" bestFit="1" customWidth="1"/>
    <col min="11" max="11" width="9.5703125" customWidth="1"/>
    <col min="12" max="12" width="11" bestFit="1" customWidth="1"/>
    <col min="14" max="14" width="11.5703125" bestFit="1" customWidth="1"/>
    <col min="15" max="15" width="12.5703125" bestFit="1" customWidth="1"/>
    <col min="16" max="16" width="12.5703125" customWidth="1"/>
    <col min="17" max="17" width="10.42578125" customWidth="1"/>
    <col min="21" max="21" width="13.7109375" bestFit="1" customWidth="1"/>
    <col min="22" max="22" width="11.5703125" bestFit="1" customWidth="1"/>
    <col min="23" max="23" width="10.5703125" bestFit="1" customWidth="1"/>
    <col min="24" max="24" width="8" bestFit="1" customWidth="1"/>
    <col min="25" max="25" width="15.28515625" bestFit="1" customWidth="1"/>
    <col min="26" max="26" width="14.28515625" bestFit="1" customWidth="1"/>
    <col min="27" max="31" width="14.28515625" customWidth="1"/>
    <col min="32" max="46" width="12" customWidth="1"/>
  </cols>
  <sheetData>
    <row r="1" spans="1:46" s="34" customFormat="1" x14ac:dyDescent="0.25">
      <c r="B1" s="34" t="s">
        <v>7</v>
      </c>
      <c r="E1" s="34" t="s">
        <v>7</v>
      </c>
      <c r="F1" s="34" t="s">
        <v>7</v>
      </c>
      <c r="G1" s="82" t="s">
        <v>7</v>
      </c>
      <c r="H1" s="82"/>
      <c r="I1" s="34" t="s">
        <v>7</v>
      </c>
      <c r="J1" s="34" t="s">
        <v>7</v>
      </c>
      <c r="K1" s="34" t="s">
        <v>7</v>
      </c>
      <c r="L1" s="34" t="s">
        <v>8</v>
      </c>
      <c r="O1" s="34" t="s">
        <v>7</v>
      </c>
      <c r="Q1" s="79" t="s">
        <v>144</v>
      </c>
      <c r="R1" s="78"/>
      <c r="S1" s="78"/>
      <c r="T1" s="78"/>
      <c r="U1" s="81"/>
      <c r="V1" s="81"/>
      <c r="W1" s="81"/>
      <c r="X1" s="81"/>
      <c r="Y1" s="78"/>
      <c r="Z1" s="78"/>
      <c r="AA1" s="78"/>
      <c r="AB1" s="78"/>
      <c r="AC1" s="78"/>
      <c r="AD1" s="78"/>
    </row>
    <row r="2" spans="1:46" x14ac:dyDescent="0.25">
      <c r="A2" s="35" t="s">
        <v>6</v>
      </c>
      <c r="B2" s="21">
        <v>0.04</v>
      </c>
      <c r="Q2" s="36" t="s">
        <v>6</v>
      </c>
      <c r="R2" s="21">
        <v>0.04</v>
      </c>
    </row>
    <row r="3" spans="1:46" x14ac:dyDescent="0.25">
      <c r="A3" s="35" t="s">
        <v>12</v>
      </c>
      <c r="B3">
        <f>1/(1+B2)</f>
        <v>0.96153846153846145</v>
      </c>
      <c r="C3" s="80" t="s">
        <v>10</v>
      </c>
      <c r="D3" s="80"/>
      <c r="E3" s="4" t="s">
        <v>145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6" t="s">
        <v>12</v>
      </c>
      <c r="R3" s="4">
        <f>1/(1+R2)</f>
        <v>0.96153846153846145</v>
      </c>
      <c r="S3" s="4" t="s">
        <v>145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</row>
    <row r="4" spans="1:46" ht="18.75" x14ac:dyDescent="0.35">
      <c r="A4" s="35" t="s">
        <v>146</v>
      </c>
      <c r="B4" s="35" t="s">
        <v>147</v>
      </c>
      <c r="C4" s="4" t="s">
        <v>148</v>
      </c>
      <c r="D4" s="4" t="s">
        <v>149</v>
      </c>
      <c r="E4" s="37" t="s">
        <v>150</v>
      </c>
      <c r="F4" s="37" t="s">
        <v>151</v>
      </c>
      <c r="G4" s="37" t="s">
        <v>152</v>
      </c>
      <c r="H4" s="37" t="s">
        <v>153</v>
      </c>
      <c r="I4" s="37" t="s">
        <v>154</v>
      </c>
      <c r="J4" s="37" t="s">
        <v>155</v>
      </c>
      <c r="K4" s="37" t="s">
        <v>219</v>
      </c>
      <c r="L4" s="37" t="s">
        <v>156</v>
      </c>
      <c r="M4" s="37"/>
      <c r="N4" s="37"/>
      <c r="O4" s="37"/>
      <c r="P4" s="37"/>
      <c r="Q4" s="56" t="s">
        <v>146</v>
      </c>
      <c r="R4" s="38" t="s">
        <v>157</v>
      </c>
      <c r="S4" s="37" t="s">
        <v>150</v>
      </c>
      <c r="T4" s="37" t="s">
        <v>151</v>
      </c>
      <c r="U4" s="37" t="s">
        <v>158</v>
      </c>
      <c r="V4" s="37" t="s">
        <v>159</v>
      </c>
      <c r="W4" s="37" t="s">
        <v>160</v>
      </c>
      <c r="X4" s="37" t="s">
        <v>161</v>
      </c>
      <c r="Y4" s="37" t="s">
        <v>162</v>
      </c>
      <c r="Z4" s="37" t="s">
        <v>163</v>
      </c>
      <c r="AA4" s="37" t="s">
        <v>164</v>
      </c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</row>
    <row r="5" spans="1:46" x14ac:dyDescent="0.25">
      <c r="E5" s="39"/>
      <c r="F5" s="39"/>
      <c r="G5" s="39"/>
      <c r="H5" s="39"/>
      <c r="I5" s="39"/>
      <c r="J5" s="39"/>
      <c r="K5" s="39"/>
      <c r="L5" s="57">
        <f>SUM(L7:L41)</f>
        <v>7.3919667345580919E-2</v>
      </c>
      <c r="M5" s="39"/>
      <c r="N5" s="58" t="s">
        <v>165</v>
      </c>
      <c r="O5" s="59">
        <v>100000</v>
      </c>
      <c r="P5" s="60"/>
      <c r="S5" s="39"/>
      <c r="T5" s="39"/>
      <c r="U5" s="39"/>
      <c r="W5" s="39"/>
      <c r="X5" s="39"/>
      <c r="Y5" s="39"/>
      <c r="Z5" s="39"/>
      <c r="AA5" s="57">
        <f>SUM(AA7:AA41)</f>
        <v>7.3919667345580919E-2</v>
      </c>
      <c r="AB5" s="58"/>
      <c r="AC5" s="58" t="s">
        <v>165</v>
      </c>
      <c r="AD5" s="59">
        <v>100000</v>
      </c>
      <c r="AE5" s="58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</row>
    <row r="6" spans="1:46" x14ac:dyDescent="0.25">
      <c r="N6" s="33" t="s">
        <v>166</v>
      </c>
      <c r="O6" s="57">
        <f>L5</f>
        <v>7.3919667345580919E-2</v>
      </c>
      <c r="P6" s="57"/>
      <c r="AC6" s="33" t="s">
        <v>166</v>
      </c>
      <c r="AD6" s="57">
        <f>AA5</f>
        <v>7.3919667345580919E-2</v>
      </c>
    </row>
    <row r="7" spans="1:46" x14ac:dyDescent="0.25">
      <c r="A7">
        <v>1</v>
      </c>
      <c r="B7">
        <f>B3</f>
        <v>0.96153846153846145</v>
      </c>
      <c r="C7" s="9">
        <v>30</v>
      </c>
      <c r="D7" s="9">
        <v>25</v>
      </c>
      <c r="E7">
        <f>'Q2 Base'!B15</f>
        <v>6.5499999999999998E-4</v>
      </c>
      <c r="F7">
        <f>'Q2 Base'!C10</f>
        <v>5.5400000000000002E-4</v>
      </c>
      <c r="G7">
        <f t="shared" ref="G7:H41" si="0">1-E7</f>
        <v>0.99934500000000004</v>
      </c>
      <c r="H7">
        <f t="shared" si="0"/>
        <v>0.99944599999999995</v>
      </c>
      <c r="I7">
        <f t="shared" ref="I7:I41" si="1">G7*H7</f>
        <v>0.99879136287000003</v>
      </c>
      <c r="J7" s="61">
        <f>1-I7</f>
        <v>1.2086371299999676E-3</v>
      </c>
      <c r="K7" s="61">
        <f>1</f>
        <v>1</v>
      </c>
      <c r="L7">
        <f>K7*J7*B7</f>
        <v>1.1621510865384302E-3</v>
      </c>
      <c r="N7" s="7"/>
      <c r="O7" s="7"/>
      <c r="P7" s="7"/>
      <c r="Q7">
        <v>1</v>
      </c>
      <c r="R7">
        <f>R3</f>
        <v>0.96153846153846145</v>
      </c>
      <c r="S7">
        <f>'Q2 Base'!B15</f>
        <v>6.5499999999999998E-4</v>
      </c>
      <c r="T7">
        <f>'Q2 Base'!C10</f>
        <v>5.5400000000000002E-4</v>
      </c>
      <c r="U7" s="62">
        <v>10000</v>
      </c>
      <c r="V7" s="63">
        <f t="shared" ref="V7:V42" si="2">U7*S7</f>
        <v>6.55</v>
      </c>
      <c r="W7" s="62">
        <v>10000</v>
      </c>
      <c r="X7" s="63">
        <f t="shared" ref="X7:X42" si="3">W7*T7</f>
        <v>5.54</v>
      </c>
      <c r="Y7" s="64">
        <f t="shared" ref="Y7:Y42" si="4">U7*W7</f>
        <v>100000000</v>
      </c>
      <c r="Z7" s="7">
        <f>Y7-Y8</f>
        <v>120863.71299999952</v>
      </c>
      <c r="AA7" s="65">
        <f>Z7*R7/$Y$7</f>
        <v>1.1621510865384569E-3</v>
      </c>
      <c r="AB7" s="7"/>
      <c r="AC7" s="7"/>
      <c r="AD7" s="7"/>
      <c r="AE7" s="7"/>
    </row>
    <row r="8" spans="1:46" x14ac:dyDescent="0.25">
      <c r="A8">
        <v>2</v>
      </c>
      <c r="B8">
        <f t="shared" ref="B8:B41" si="5">B7*$B$3</f>
        <v>0.92455621301775126</v>
      </c>
      <c r="C8" s="9">
        <v>31</v>
      </c>
      <c r="D8" s="9">
        <v>26</v>
      </c>
      <c r="E8">
        <f>'Q2 Base'!B16</f>
        <v>6.9999999999999999E-4</v>
      </c>
      <c r="F8">
        <f>'Q2 Base'!C11</f>
        <v>5.1099999999999995E-4</v>
      </c>
      <c r="G8">
        <f t="shared" si="0"/>
        <v>0.99929999999999997</v>
      </c>
      <c r="H8">
        <f t="shared" si="0"/>
        <v>0.99948899999999996</v>
      </c>
      <c r="I8">
        <f>G8*H8</f>
        <v>0.99878935769999988</v>
      </c>
      <c r="J8" s="61">
        <f>1-I8</f>
        <v>1.2106423000001199E-3</v>
      </c>
      <c r="K8" s="61">
        <f>K7*I7</f>
        <v>0.99879136287000003</v>
      </c>
      <c r="L8">
        <f>K8*J8*B8</f>
        <v>1.117954024376101E-3</v>
      </c>
      <c r="N8" s="66" t="s">
        <v>167</v>
      </c>
      <c r="O8" s="7">
        <f>O5*O6</f>
        <v>7391.966734558092</v>
      </c>
      <c r="P8" s="7"/>
      <c r="Q8">
        <v>2</v>
      </c>
      <c r="R8">
        <f t="shared" ref="R8:R42" si="6">R7*$B$3</f>
        <v>0.92455621301775126</v>
      </c>
      <c r="S8">
        <f>'Q2 Base'!B16</f>
        <v>6.9999999999999999E-4</v>
      </c>
      <c r="T8">
        <f>'Q2 Base'!C11</f>
        <v>5.1099999999999995E-4</v>
      </c>
      <c r="U8" s="63">
        <f t="shared" ref="U8:U42" si="7">U7-V7</f>
        <v>9993.4500000000007</v>
      </c>
      <c r="V8" s="63">
        <f t="shared" si="2"/>
        <v>6.9954150000000004</v>
      </c>
      <c r="W8" s="63">
        <f t="shared" ref="W8:W42" si="8">W7-X7</f>
        <v>9994.4599999999991</v>
      </c>
      <c r="X8" s="63">
        <f t="shared" si="3"/>
        <v>5.1071690599999995</v>
      </c>
      <c r="Y8" s="64">
        <f>U8*W8</f>
        <v>99879136.287</v>
      </c>
      <c r="Z8" s="7">
        <f t="shared" ref="Z8:Z41" si="9">Y8-Y9</f>
        <v>120917.90727651119</v>
      </c>
      <c r="AA8" s="65">
        <f t="shared" ref="AA8:AA42" si="10">Z8*R8/$Y$7</f>
        <v>1.1179540243760279E-3</v>
      </c>
      <c r="AB8" s="7"/>
      <c r="AC8" s="66" t="s">
        <v>167</v>
      </c>
      <c r="AD8" s="7">
        <f>AD5*AD6</f>
        <v>7391.966734558092</v>
      </c>
      <c r="AE8" s="7"/>
    </row>
    <row r="9" spans="1:46" x14ac:dyDescent="0.25">
      <c r="A9">
        <v>3</v>
      </c>
      <c r="B9">
        <f t="shared" si="5"/>
        <v>0.88899635867091464</v>
      </c>
      <c r="C9" s="9">
        <v>32</v>
      </c>
      <c r="D9" s="9">
        <v>27</v>
      </c>
      <c r="E9">
        <f>'Q2 Base'!B17</f>
        <v>8.3900000000000001E-4</v>
      </c>
      <c r="F9">
        <f>'Q2 Base'!C12</f>
        <v>5.3300000000000005E-4</v>
      </c>
      <c r="G9">
        <f t="shared" si="0"/>
        <v>0.99916099999999997</v>
      </c>
      <c r="H9">
        <f t="shared" si="0"/>
        <v>0.99946699999999999</v>
      </c>
      <c r="I9">
        <f t="shared" si="1"/>
        <v>0.99862844718699995</v>
      </c>
      <c r="J9" s="61">
        <f t="shared" ref="J9:J41" si="11">1-I9</f>
        <v>1.3715528130000543E-3</v>
      </c>
      <c r="K9" s="61">
        <f t="shared" ref="K9:K41" si="12">K8*I8</f>
        <v>0.99758218379723484</v>
      </c>
      <c r="L9">
        <f t="shared" ref="L9:L41" si="13">K9*J9*B9</f>
        <v>1.2163573999930963E-3</v>
      </c>
      <c r="Q9">
        <v>3</v>
      </c>
      <c r="R9">
        <f t="shared" si="6"/>
        <v>0.88899635867091464</v>
      </c>
      <c r="S9">
        <f>'Q2 Base'!B17</f>
        <v>8.3900000000000001E-4</v>
      </c>
      <c r="T9">
        <f>'Q2 Base'!C12</f>
        <v>5.3300000000000005E-4</v>
      </c>
      <c r="U9" s="63">
        <f t="shared" si="7"/>
        <v>9986.4545850000013</v>
      </c>
      <c r="V9" s="63">
        <f t="shared" si="2"/>
        <v>8.3786353968150014</v>
      </c>
      <c r="W9" s="63">
        <f t="shared" si="8"/>
        <v>9989.352830939999</v>
      </c>
      <c r="X9" s="63">
        <f t="shared" si="3"/>
        <v>5.32432505889102</v>
      </c>
      <c r="Y9" s="64">
        <f t="shared" si="4"/>
        <v>99758218.379723489</v>
      </c>
      <c r="Z9" s="7">
        <f t="shared" si="9"/>
        <v>136823.66503857076</v>
      </c>
      <c r="AA9" s="65">
        <f t="shared" si="10"/>
        <v>1.2163573999929833E-3</v>
      </c>
      <c r="AB9" s="7"/>
      <c r="AC9" s="7"/>
      <c r="AD9" s="7"/>
      <c r="AE9" s="7"/>
    </row>
    <row r="10" spans="1:46" x14ac:dyDescent="0.25">
      <c r="A10">
        <v>4</v>
      </c>
      <c r="B10">
        <f t="shared" si="5"/>
        <v>0.85480419102972549</v>
      </c>
      <c r="C10" s="9">
        <v>33</v>
      </c>
      <c r="D10" s="9">
        <v>28</v>
      </c>
      <c r="E10">
        <f>'Q2 Base'!B18</f>
        <v>8.25E-4</v>
      </c>
      <c r="F10">
        <f>'Q2 Base'!C13</f>
        <v>6.0499999999999996E-4</v>
      </c>
      <c r="G10">
        <f t="shared" si="0"/>
        <v>0.99917500000000004</v>
      </c>
      <c r="H10">
        <f t="shared" si="0"/>
        <v>0.99939500000000003</v>
      </c>
      <c r="I10">
        <f t="shared" si="1"/>
        <v>0.99857049912500007</v>
      </c>
      <c r="J10" s="61">
        <f t="shared" si="11"/>
        <v>1.4295008749999338E-3</v>
      </c>
      <c r="K10" s="61">
        <f t="shared" si="12"/>
        <v>0.99621394714684897</v>
      </c>
      <c r="L10">
        <f t="shared" si="13"/>
        <v>1.2173169969654776E-3</v>
      </c>
      <c r="Q10">
        <v>4</v>
      </c>
      <c r="R10">
        <f t="shared" si="6"/>
        <v>0.85480419102972549</v>
      </c>
      <c r="S10">
        <f>'Q2 Base'!B18</f>
        <v>8.25E-4</v>
      </c>
      <c r="T10">
        <f>'Q2 Base'!C13</f>
        <v>6.0499999999999996E-4</v>
      </c>
      <c r="U10" s="63">
        <f t="shared" si="7"/>
        <v>9978.075949603186</v>
      </c>
      <c r="V10" s="63">
        <f t="shared" si="2"/>
        <v>8.2319126584226279</v>
      </c>
      <c r="W10" s="63">
        <f t="shared" si="8"/>
        <v>9984.0285058811078</v>
      </c>
      <c r="X10" s="63">
        <f t="shared" si="3"/>
        <v>6.04033724605807</v>
      </c>
      <c r="Y10" s="64">
        <f t="shared" si="4"/>
        <v>99621394.714684919</v>
      </c>
      <c r="Z10" s="7">
        <f t="shared" si="9"/>
        <v>142408.87091337144</v>
      </c>
      <c r="AA10" s="65">
        <f t="shared" si="10"/>
        <v>1.2173169969656109E-3</v>
      </c>
      <c r="AB10" s="7"/>
      <c r="AC10" s="7"/>
      <c r="AD10" s="7"/>
      <c r="AE10" s="7"/>
    </row>
    <row r="11" spans="1:46" x14ac:dyDescent="0.25">
      <c r="A11">
        <v>5</v>
      </c>
      <c r="B11">
        <f t="shared" si="5"/>
        <v>0.82192710675935132</v>
      </c>
      <c r="C11" s="9">
        <v>34</v>
      </c>
      <c r="D11" s="9">
        <v>29</v>
      </c>
      <c r="E11">
        <f>'Q2 Base'!B19</f>
        <v>8.9300000000000002E-4</v>
      </c>
      <c r="F11">
        <f>'Q2 Base'!C14</f>
        <v>5.9400000000000002E-4</v>
      </c>
      <c r="G11">
        <f t="shared" si="0"/>
        <v>0.99910699999999997</v>
      </c>
      <c r="H11">
        <f t="shared" si="0"/>
        <v>0.99940600000000002</v>
      </c>
      <c r="I11">
        <f t="shared" si="1"/>
        <v>0.99851353044199997</v>
      </c>
      <c r="J11" s="61">
        <f t="shared" si="11"/>
        <v>1.4864695580000253E-3</v>
      </c>
      <c r="K11" s="61">
        <f t="shared" si="12"/>
        <v>0.99478985843771539</v>
      </c>
      <c r="L11">
        <f t="shared" si="13"/>
        <v>1.2154040304E-3</v>
      </c>
      <c r="Q11">
        <v>5</v>
      </c>
      <c r="R11">
        <f t="shared" si="6"/>
        <v>0.82192710675935132</v>
      </c>
      <c r="S11">
        <f>'Q2 Base'!B19</f>
        <v>8.9300000000000002E-4</v>
      </c>
      <c r="T11">
        <f>'Q2 Base'!C14</f>
        <v>5.9400000000000002E-4</v>
      </c>
      <c r="U11" s="63">
        <f t="shared" si="7"/>
        <v>9969.8440369447635</v>
      </c>
      <c r="V11" s="63">
        <f t="shared" si="2"/>
        <v>8.9030707249916734</v>
      </c>
      <c r="W11" s="63">
        <f t="shared" si="8"/>
        <v>9977.9881686350491</v>
      </c>
      <c r="X11" s="63">
        <f t="shared" si="3"/>
        <v>5.9269249721692194</v>
      </c>
      <c r="Y11" s="64">
        <f t="shared" si="4"/>
        <v>99478985.843771547</v>
      </c>
      <c r="Z11" s="7">
        <f t="shared" si="9"/>
        <v>147872.48411747813</v>
      </c>
      <c r="AA11" s="65">
        <f t="shared" si="10"/>
        <v>1.2154040303999694E-3</v>
      </c>
      <c r="AB11" s="7"/>
      <c r="AC11" s="7"/>
      <c r="AD11" s="7"/>
      <c r="AE11" s="7"/>
    </row>
    <row r="12" spans="1:46" x14ac:dyDescent="0.25">
      <c r="A12">
        <v>6</v>
      </c>
      <c r="B12">
        <f t="shared" si="5"/>
        <v>0.79031452573014538</v>
      </c>
      <c r="C12" s="9">
        <v>35</v>
      </c>
      <c r="D12" s="9">
        <v>30</v>
      </c>
      <c r="E12">
        <f>'Q2 Base'!B20</f>
        <v>9.5200000000000005E-4</v>
      </c>
      <c r="F12">
        <f>'Q2 Base'!C15</f>
        <v>6.3500000000000004E-4</v>
      </c>
      <c r="G12">
        <f t="shared" si="0"/>
        <v>0.99904800000000005</v>
      </c>
      <c r="H12">
        <f t="shared" si="0"/>
        <v>0.99936499999999995</v>
      </c>
      <c r="I12">
        <f t="shared" si="1"/>
        <v>0.99841360451999994</v>
      </c>
      <c r="J12" s="61">
        <f t="shared" si="11"/>
        <v>1.5863954800000579E-3</v>
      </c>
      <c r="K12" s="61">
        <f t="shared" si="12"/>
        <v>0.99331113359654055</v>
      </c>
      <c r="L12">
        <f t="shared" si="13"/>
        <v>1.2453652158364882E-3</v>
      </c>
      <c r="Q12">
        <v>6</v>
      </c>
      <c r="R12">
        <f t="shared" si="6"/>
        <v>0.79031452573014538</v>
      </c>
      <c r="S12">
        <f>'Q2 Base'!B20</f>
        <v>9.5200000000000005E-4</v>
      </c>
      <c r="T12">
        <f>'Q2 Base'!C15</f>
        <v>6.3500000000000004E-4</v>
      </c>
      <c r="U12" s="63">
        <f t="shared" si="7"/>
        <v>9960.9409662197722</v>
      </c>
      <c r="V12" s="63">
        <f t="shared" si="2"/>
        <v>9.482815799841223</v>
      </c>
      <c r="W12" s="63">
        <f t="shared" si="8"/>
        <v>9972.0612436628799</v>
      </c>
      <c r="X12" s="63">
        <f t="shared" si="3"/>
        <v>6.3322588897259289</v>
      </c>
      <c r="Y12" s="64">
        <f t="shared" si="4"/>
        <v>99331113.359654069</v>
      </c>
      <c r="Z12" s="7">
        <f t="shared" si="9"/>
        <v>157578.42925712466</v>
      </c>
      <c r="AA12" s="65">
        <f t="shared" si="10"/>
        <v>1.2453652158364574E-3</v>
      </c>
      <c r="AB12" s="7"/>
      <c r="AC12" s="7"/>
      <c r="AD12" s="7"/>
      <c r="AE12" s="7"/>
    </row>
    <row r="13" spans="1:46" x14ac:dyDescent="0.25">
      <c r="A13">
        <v>7</v>
      </c>
      <c r="B13">
        <f t="shared" si="5"/>
        <v>0.75991781320206275</v>
      </c>
      <c r="C13" s="9">
        <v>36</v>
      </c>
      <c r="D13" s="9">
        <v>31</v>
      </c>
      <c r="E13">
        <f>'Q2 Base'!B21</f>
        <v>1.0950000000000001E-3</v>
      </c>
      <c r="F13">
        <f>'Q2 Base'!C16</f>
        <v>6.8000000000000005E-4</v>
      </c>
      <c r="G13">
        <f t="shared" si="0"/>
        <v>0.99890500000000004</v>
      </c>
      <c r="H13">
        <f t="shared" si="0"/>
        <v>0.99931999999999999</v>
      </c>
      <c r="I13">
        <f t="shared" si="1"/>
        <v>0.99822574460000002</v>
      </c>
      <c r="J13" s="61">
        <f t="shared" si="11"/>
        <v>1.7742553999999799E-3</v>
      </c>
      <c r="K13" s="61">
        <f t="shared" si="12"/>
        <v>0.99173534930396923</v>
      </c>
      <c r="L13">
        <f t="shared" si="13"/>
        <v>1.3371451519281837E-3</v>
      </c>
      <c r="Q13">
        <v>7</v>
      </c>
      <c r="R13">
        <f t="shared" si="6"/>
        <v>0.75991781320206275</v>
      </c>
      <c r="S13">
        <f>'Q2 Base'!B21</f>
        <v>1.0950000000000001E-3</v>
      </c>
      <c r="T13">
        <f>'Q2 Base'!C16</f>
        <v>6.8000000000000005E-4</v>
      </c>
      <c r="U13" s="63">
        <f t="shared" si="7"/>
        <v>9951.4581504199305</v>
      </c>
      <c r="V13" s="63">
        <f t="shared" si="2"/>
        <v>10.896846674709824</v>
      </c>
      <c r="W13" s="63">
        <f t="shared" si="8"/>
        <v>9965.7289847731536</v>
      </c>
      <c r="X13" s="63">
        <f t="shared" si="3"/>
        <v>6.776695709645745</v>
      </c>
      <c r="Y13" s="64">
        <f t="shared" si="4"/>
        <v>99173534.930396944</v>
      </c>
      <c r="Z13" s="7">
        <f t="shared" si="9"/>
        <v>175959.17988735437</v>
      </c>
      <c r="AA13" s="65">
        <f t="shared" si="10"/>
        <v>1.3371451519282671E-3</v>
      </c>
      <c r="AB13" s="7"/>
      <c r="AC13" s="7"/>
      <c r="AD13" s="7"/>
      <c r="AE13" s="7"/>
    </row>
    <row r="14" spans="1:46" x14ac:dyDescent="0.25">
      <c r="A14">
        <v>8</v>
      </c>
      <c r="B14">
        <f t="shared" si="5"/>
        <v>0.73069020500198334</v>
      </c>
      <c r="C14" s="9">
        <v>37</v>
      </c>
      <c r="D14" s="9">
        <v>32</v>
      </c>
      <c r="E14">
        <f>'Q2 Base'!B22</f>
        <v>1.09E-3</v>
      </c>
      <c r="F14">
        <f>'Q2 Base'!C17</f>
        <v>8.1800000000000004E-4</v>
      </c>
      <c r="G14">
        <f t="shared" si="0"/>
        <v>0.99890999999999996</v>
      </c>
      <c r="H14">
        <f t="shared" si="0"/>
        <v>0.99918200000000001</v>
      </c>
      <c r="I14">
        <f t="shared" si="1"/>
        <v>0.99809289162000003</v>
      </c>
      <c r="J14" s="61">
        <f t="shared" si="11"/>
        <v>1.9071083799999666E-3</v>
      </c>
      <c r="K14" s="61">
        <f t="shared" si="12"/>
        <v>0.98997575750509581</v>
      </c>
      <c r="L14">
        <f t="shared" si="13"/>
        <v>1.3795365769638671E-3</v>
      </c>
      <c r="Q14">
        <v>8</v>
      </c>
      <c r="R14">
        <f t="shared" si="6"/>
        <v>0.73069020500198334</v>
      </c>
      <c r="S14">
        <f>'Q2 Base'!B22</f>
        <v>1.09E-3</v>
      </c>
      <c r="T14">
        <f>'Q2 Base'!C17</f>
        <v>8.1800000000000004E-4</v>
      </c>
      <c r="U14" s="63">
        <f t="shared" si="7"/>
        <v>9940.5613037452204</v>
      </c>
      <c r="V14" s="63">
        <f t="shared" si="2"/>
        <v>10.835211821082291</v>
      </c>
      <c r="W14" s="63">
        <f t="shared" si="8"/>
        <v>9958.9522890635071</v>
      </c>
      <c r="X14" s="63">
        <f t="shared" si="3"/>
        <v>8.1464229724539496</v>
      </c>
      <c r="Y14" s="64">
        <f t="shared" si="4"/>
        <v>98997575.75050959</v>
      </c>
      <c r="Z14" s="7">
        <f t="shared" si="9"/>
        <v>188799.10631348193</v>
      </c>
      <c r="AA14" s="65">
        <f t="shared" si="10"/>
        <v>1.3795365769638935E-3</v>
      </c>
      <c r="AB14" s="7"/>
      <c r="AC14" s="7"/>
      <c r="AD14" s="7"/>
      <c r="AE14" s="7"/>
    </row>
    <row r="15" spans="1:46" x14ac:dyDescent="0.25">
      <c r="A15">
        <v>9</v>
      </c>
      <c r="B15">
        <f t="shared" si="5"/>
        <v>0.70258673557883011</v>
      </c>
      <c r="C15" s="9">
        <v>38</v>
      </c>
      <c r="D15" s="9">
        <v>33</v>
      </c>
      <c r="E15">
        <f>'Q2 Base'!B23</f>
        <v>1.155E-3</v>
      </c>
      <c r="F15">
        <f>'Q2 Base'!C18</f>
        <v>8.0500000000000005E-4</v>
      </c>
      <c r="G15">
        <f t="shared" si="0"/>
        <v>0.99884499999999998</v>
      </c>
      <c r="H15">
        <f t="shared" si="0"/>
        <v>0.99919500000000006</v>
      </c>
      <c r="I15">
        <f t="shared" si="1"/>
        <v>0.99804092977500003</v>
      </c>
      <c r="J15" s="61">
        <f t="shared" si="11"/>
        <v>1.9590702249999703E-3</v>
      </c>
      <c r="K15" s="61">
        <f t="shared" si="12"/>
        <v>0.98808776644196106</v>
      </c>
      <c r="L15">
        <f t="shared" si="13"/>
        <v>1.360020556303752E-3</v>
      </c>
      <c r="Q15">
        <v>9</v>
      </c>
      <c r="R15">
        <f t="shared" si="6"/>
        <v>0.70258673557883011</v>
      </c>
      <c r="S15">
        <f>'Q2 Base'!B23</f>
        <v>1.155E-3</v>
      </c>
      <c r="T15">
        <f>'Q2 Base'!C18</f>
        <v>8.0500000000000005E-4</v>
      </c>
      <c r="U15" s="63">
        <f t="shared" si="7"/>
        <v>9929.726091924138</v>
      </c>
      <c r="V15" s="63">
        <f t="shared" si="2"/>
        <v>11.468833636172379</v>
      </c>
      <c r="W15" s="63">
        <f t="shared" si="8"/>
        <v>9950.8058660910538</v>
      </c>
      <c r="X15" s="63">
        <f t="shared" si="3"/>
        <v>8.0103987222032984</v>
      </c>
      <c r="Y15" s="64">
        <f t="shared" si="4"/>
        <v>98808776.644196108</v>
      </c>
      <c r="Z15" s="7">
        <f t="shared" si="9"/>
        <v>193573.33229231834</v>
      </c>
      <c r="AA15" s="65">
        <f t="shared" si="10"/>
        <v>1.3600205563037611E-3</v>
      </c>
      <c r="AB15" s="7"/>
      <c r="AC15" s="7"/>
      <c r="AD15" s="7"/>
      <c r="AE15" s="7"/>
    </row>
    <row r="16" spans="1:46" x14ac:dyDescent="0.25">
      <c r="A16">
        <v>10</v>
      </c>
      <c r="B16">
        <f t="shared" si="5"/>
        <v>0.67556416882579817</v>
      </c>
      <c r="C16" s="9">
        <v>39</v>
      </c>
      <c r="D16" s="9">
        <v>34</v>
      </c>
      <c r="E16">
        <f>'Q2 Base'!B24</f>
        <v>1.2780000000000001E-3</v>
      </c>
      <c r="F16">
        <f>'Q2 Base'!C19</f>
        <v>8.7299999999999997E-4</v>
      </c>
      <c r="G16">
        <f t="shared" si="0"/>
        <v>0.998722</v>
      </c>
      <c r="H16">
        <f t="shared" si="0"/>
        <v>0.99912699999999999</v>
      </c>
      <c r="I16">
        <f t="shared" si="1"/>
        <v>0.99785011569399995</v>
      </c>
      <c r="J16" s="61">
        <f t="shared" si="11"/>
        <v>2.1498843060000494E-3</v>
      </c>
      <c r="K16" s="61">
        <f t="shared" si="12"/>
        <v>0.98615203311903787</v>
      </c>
      <c r="L16">
        <f t="shared" si="13"/>
        <v>1.4322722275868216E-3</v>
      </c>
      <c r="Q16">
        <v>10</v>
      </c>
      <c r="R16">
        <f t="shared" si="6"/>
        <v>0.67556416882579817</v>
      </c>
      <c r="S16">
        <f>'Q2 Base'!B24</f>
        <v>1.2780000000000001E-3</v>
      </c>
      <c r="T16">
        <f>'Q2 Base'!C19</f>
        <v>8.7299999999999997E-4</v>
      </c>
      <c r="U16" s="63">
        <f t="shared" si="7"/>
        <v>9918.2572582879657</v>
      </c>
      <c r="V16" s="63">
        <f t="shared" si="2"/>
        <v>12.675532776092021</v>
      </c>
      <c r="W16" s="63">
        <f t="shared" si="8"/>
        <v>9942.795467368851</v>
      </c>
      <c r="X16" s="63">
        <f t="shared" si="3"/>
        <v>8.6800604430130068</v>
      </c>
      <c r="Y16" s="64">
        <f t="shared" si="4"/>
        <v>98615203.31190379</v>
      </c>
      <c r="Z16" s="7">
        <f t="shared" si="9"/>
        <v>212011.27793325484</v>
      </c>
      <c r="AA16" s="65">
        <f t="shared" si="10"/>
        <v>1.4322722275867459E-3</v>
      </c>
      <c r="AB16" s="7"/>
      <c r="AC16" s="7"/>
      <c r="AD16" s="7"/>
      <c r="AE16" s="7"/>
    </row>
    <row r="17" spans="1:31" x14ac:dyDescent="0.25">
      <c r="A17">
        <v>11</v>
      </c>
      <c r="B17">
        <f t="shared" si="5"/>
        <v>0.64958093156326746</v>
      </c>
      <c r="C17" s="9">
        <v>40</v>
      </c>
      <c r="D17" s="9">
        <v>35</v>
      </c>
      <c r="E17">
        <f>'Q2 Base'!B25</f>
        <v>1.4040000000000001E-3</v>
      </c>
      <c r="F17">
        <f>'Q2 Base'!C20</f>
        <v>9.3199999999999999E-4</v>
      </c>
      <c r="G17">
        <f t="shared" si="0"/>
        <v>0.99859600000000004</v>
      </c>
      <c r="H17">
        <f t="shared" si="0"/>
        <v>0.99906799999999996</v>
      </c>
      <c r="I17">
        <f t="shared" si="1"/>
        <v>0.99766530852799995</v>
      </c>
      <c r="J17" s="61">
        <f t="shared" si="11"/>
        <v>2.33469147200005E-3</v>
      </c>
      <c r="K17" s="61">
        <f t="shared" si="12"/>
        <v>0.98403192033970521</v>
      </c>
      <c r="L17">
        <f t="shared" si="13"/>
        <v>1.4923543337773586E-3</v>
      </c>
      <c r="Q17">
        <v>11</v>
      </c>
      <c r="R17">
        <f t="shared" si="6"/>
        <v>0.64958093156326746</v>
      </c>
      <c r="S17">
        <f>'Q2 Base'!B25</f>
        <v>1.4040000000000001E-3</v>
      </c>
      <c r="T17">
        <f>'Q2 Base'!C20</f>
        <v>9.3199999999999999E-4</v>
      </c>
      <c r="U17" s="63">
        <f t="shared" si="7"/>
        <v>9905.5817255118745</v>
      </c>
      <c r="V17" s="63">
        <f t="shared" si="2"/>
        <v>13.907436742618673</v>
      </c>
      <c r="W17" s="63">
        <f t="shared" si="8"/>
        <v>9934.1154069258373</v>
      </c>
      <c r="X17" s="63">
        <f t="shared" si="3"/>
        <v>9.2585955592548803</v>
      </c>
      <c r="Y17" s="64">
        <f t="shared" si="4"/>
        <v>98403192.033970535</v>
      </c>
      <c r="Z17" s="7">
        <f t="shared" si="9"/>
        <v>229741.09325928986</v>
      </c>
      <c r="AA17" s="65">
        <f t="shared" si="10"/>
        <v>1.4923543337773302E-3</v>
      </c>
      <c r="AB17" s="7"/>
      <c r="AC17" s="7"/>
      <c r="AD17" s="7"/>
      <c r="AE17" s="7"/>
    </row>
    <row r="18" spans="1:31" x14ac:dyDescent="0.25">
      <c r="A18">
        <v>12</v>
      </c>
      <c r="B18">
        <f t="shared" si="5"/>
        <v>0.62459704958006479</v>
      </c>
      <c r="C18" s="9">
        <v>41</v>
      </c>
      <c r="D18" s="9">
        <v>36</v>
      </c>
      <c r="E18">
        <f>'Q2 Base'!B26</f>
        <v>1.5920000000000001E-3</v>
      </c>
      <c r="F18">
        <f>'Q2 Base'!C21</f>
        <v>1.075E-3</v>
      </c>
      <c r="G18">
        <f t="shared" si="0"/>
        <v>0.99840799999999996</v>
      </c>
      <c r="H18">
        <f t="shared" si="0"/>
        <v>0.99892499999999995</v>
      </c>
      <c r="I18">
        <f t="shared" si="1"/>
        <v>0.99733471139999996</v>
      </c>
      <c r="J18" s="61">
        <f t="shared" si="11"/>
        <v>2.6652886000000375E-3</v>
      </c>
      <c r="K18" s="61">
        <f t="shared" si="12"/>
        <v>0.98173450940711227</v>
      </c>
      <c r="L18">
        <f t="shared" si="13"/>
        <v>1.6343242601890154E-3</v>
      </c>
      <c r="Q18">
        <v>12</v>
      </c>
      <c r="R18">
        <f t="shared" si="6"/>
        <v>0.62459704958006479</v>
      </c>
      <c r="S18">
        <f>'Q2 Base'!B26</f>
        <v>1.5920000000000001E-3</v>
      </c>
      <c r="T18">
        <f>'Q2 Base'!C21</f>
        <v>1.075E-3</v>
      </c>
      <c r="U18" s="63">
        <f t="shared" si="7"/>
        <v>9891.6742887692562</v>
      </c>
      <c r="V18" s="63">
        <f t="shared" si="2"/>
        <v>15.747545467720657</v>
      </c>
      <c r="W18" s="63">
        <f t="shared" si="8"/>
        <v>9924.8568113665824</v>
      </c>
      <c r="X18" s="63">
        <f t="shared" si="3"/>
        <v>10.669221072219075</v>
      </c>
      <c r="Y18" s="64">
        <f t="shared" si="4"/>
        <v>98173450.940711245</v>
      </c>
      <c r="Z18" s="7">
        <f t="shared" si="9"/>
        <v>261660.57961493731</v>
      </c>
      <c r="AA18" s="65">
        <f t="shared" si="10"/>
        <v>1.6343242601889948E-3</v>
      </c>
      <c r="AB18" s="7"/>
      <c r="AC18" s="7"/>
      <c r="AD18" s="7"/>
      <c r="AE18" s="7"/>
    </row>
    <row r="19" spans="1:31" x14ac:dyDescent="0.25">
      <c r="A19">
        <v>13</v>
      </c>
      <c r="B19">
        <f t="shared" si="5"/>
        <v>0.60057408613467766</v>
      </c>
      <c r="C19" s="9">
        <v>42</v>
      </c>
      <c r="D19" s="9">
        <v>37</v>
      </c>
      <c r="E19">
        <f>'Q2 Base'!B27</f>
        <v>1.6750000000000001E-3</v>
      </c>
      <c r="F19">
        <f>'Q2 Base'!C22</f>
        <v>1.07E-3</v>
      </c>
      <c r="G19">
        <f t="shared" si="0"/>
        <v>0.99832500000000002</v>
      </c>
      <c r="H19">
        <f t="shared" si="0"/>
        <v>0.99892999999999998</v>
      </c>
      <c r="I19">
        <f t="shared" si="1"/>
        <v>0.99725679224999997</v>
      </c>
      <c r="J19" s="61">
        <f t="shared" si="11"/>
        <v>2.7432077500000318E-3</v>
      </c>
      <c r="K19" s="61">
        <f t="shared" si="12"/>
        <v>0.97911790361096285</v>
      </c>
      <c r="L19">
        <f t="shared" si="13"/>
        <v>1.6130962444342637E-3</v>
      </c>
      <c r="Q19">
        <v>13</v>
      </c>
      <c r="R19">
        <f t="shared" si="6"/>
        <v>0.60057408613467766</v>
      </c>
      <c r="S19">
        <f>'Q2 Base'!B27</f>
        <v>1.6750000000000001E-3</v>
      </c>
      <c r="T19">
        <f>'Q2 Base'!C22</f>
        <v>1.07E-3</v>
      </c>
      <c r="U19" s="63">
        <f t="shared" si="7"/>
        <v>9875.9267433015357</v>
      </c>
      <c r="V19" s="63">
        <f t="shared" si="2"/>
        <v>16.542177295030072</v>
      </c>
      <c r="W19" s="63">
        <f t="shared" si="8"/>
        <v>9914.187590294363</v>
      </c>
      <c r="X19" s="63">
        <f t="shared" si="3"/>
        <v>10.608180721614968</v>
      </c>
      <c r="Y19" s="64">
        <f t="shared" si="4"/>
        <v>97911790.361096308</v>
      </c>
      <c r="Z19" s="7">
        <f t="shared" si="9"/>
        <v>268592.3821349293</v>
      </c>
      <c r="AA19" s="65">
        <f t="shared" si="10"/>
        <v>1.6130962444342129E-3</v>
      </c>
      <c r="AB19" s="7"/>
      <c r="AC19" s="7"/>
      <c r="AD19" s="7"/>
      <c r="AE19" s="7"/>
    </row>
    <row r="20" spans="1:31" x14ac:dyDescent="0.25">
      <c r="A20">
        <v>14</v>
      </c>
      <c r="B20">
        <f t="shared" si="5"/>
        <v>0.57747508282180537</v>
      </c>
      <c r="C20" s="9">
        <v>43</v>
      </c>
      <c r="D20" s="9">
        <v>38</v>
      </c>
      <c r="E20">
        <f>'Q2 Base'!B28</f>
        <v>1.8649999999999999E-3</v>
      </c>
      <c r="F20">
        <f>'Q2 Base'!C23</f>
        <v>1.1349999999999999E-3</v>
      </c>
      <c r="G20">
        <f t="shared" si="0"/>
        <v>0.99813499999999999</v>
      </c>
      <c r="H20">
        <f t="shared" si="0"/>
        <v>0.998865</v>
      </c>
      <c r="I20">
        <f t="shared" si="1"/>
        <v>0.99700211677499995</v>
      </c>
      <c r="J20" s="61">
        <f t="shared" si="11"/>
        <v>2.9978832250000531E-3</v>
      </c>
      <c r="K20" s="61">
        <f t="shared" si="12"/>
        <v>0.97643197978961349</v>
      </c>
      <c r="L20">
        <f t="shared" si="13"/>
        <v>1.6904018395682949E-3</v>
      </c>
      <c r="Q20">
        <v>14</v>
      </c>
      <c r="R20">
        <f t="shared" si="6"/>
        <v>0.57747508282180537</v>
      </c>
      <c r="S20">
        <f>'Q2 Base'!B28</f>
        <v>1.8649999999999999E-3</v>
      </c>
      <c r="T20">
        <f>'Q2 Base'!C23</f>
        <v>1.1349999999999999E-3</v>
      </c>
      <c r="U20" s="63">
        <f t="shared" si="7"/>
        <v>9859.3845660065053</v>
      </c>
      <c r="V20" s="63">
        <f t="shared" si="2"/>
        <v>18.387752215602131</v>
      </c>
      <c r="W20" s="63">
        <f t="shared" si="8"/>
        <v>9903.5794095727488</v>
      </c>
      <c r="X20" s="63">
        <f t="shared" si="3"/>
        <v>11.240562629865069</v>
      </c>
      <c r="Y20" s="64">
        <f t="shared" si="4"/>
        <v>97643197.978961378</v>
      </c>
      <c r="Z20" s="7">
        <f t="shared" si="9"/>
        <v>292722.90525647998</v>
      </c>
      <c r="AA20" s="65">
        <f t="shared" si="10"/>
        <v>1.6904018395682526E-3</v>
      </c>
      <c r="AB20" s="7"/>
      <c r="AC20" s="7"/>
      <c r="AD20" s="7"/>
      <c r="AE20" s="7"/>
    </row>
    <row r="21" spans="1:31" x14ac:dyDescent="0.25">
      <c r="A21">
        <v>15</v>
      </c>
      <c r="B21">
        <f t="shared" si="5"/>
        <v>0.55526450271327432</v>
      </c>
      <c r="C21" s="9">
        <v>44</v>
      </c>
      <c r="D21" s="9">
        <v>39</v>
      </c>
      <c r="E21">
        <f>'Q2 Base'!B29</f>
        <v>1.9849999999999998E-3</v>
      </c>
      <c r="F21">
        <f>'Q2 Base'!C24</f>
        <v>1.258E-3</v>
      </c>
      <c r="G21">
        <f t="shared" si="0"/>
        <v>0.99801499999999999</v>
      </c>
      <c r="H21">
        <f t="shared" si="0"/>
        <v>0.99874200000000002</v>
      </c>
      <c r="I21">
        <f t="shared" si="1"/>
        <v>0.99675949713000001</v>
      </c>
      <c r="J21" s="61">
        <f t="shared" si="11"/>
        <v>3.2405028699999949E-3</v>
      </c>
      <c r="K21" s="61">
        <f t="shared" si="12"/>
        <v>0.97350475073704856</v>
      </c>
      <c r="L21">
        <f t="shared" si="13"/>
        <v>1.7516623531364389E-3</v>
      </c>
      <c r="Q21">
        <v>15</v>
      </c>
      <c r="R21">
        <f t="shared" si="6"/>
        <v>0.55526450271327432</v>
      </c>
      <c r="S21">
        <f>'Q2 Base'!B29</f>
        <v>1.9849999999999998E-3</v>
      </c>
      <c r="T21">
        <f>'Q2 Base'!C24</f>
        <v>1.258E-3</v>
      </c>
      <c r="U21" s="63">
        <f t="shared" si="7"/>
        <v>9840.9968137909036</v>
      </c>
      <c r="V21" s="63">
        <f t="shared" si="2"/>
        <v>19.534378675374942</v>
      </c>
      <c r="W21" s="63">
        <f t="shared" si="8"/>
        <v>9892.3388469428828</v>
      </c>
      <c r="X21" s="63">
        <f t="shared" si="3"/>
        <v>12.444562269454147</v>
      </c>
      <c r="Y21" s="64">
        <f t="shared" si="4"/>
        <v>97350475.073704898</v>
      </c>
      <c r="Z21" s="7">
        <f t="shared" si="9"/>
        <v>315464.49387221038</v>
      </c>
      <c r="AA21" s="65">
        <f t="shared" si="10"/>
        <v>1.7516623531364766E-3</v>
      </c>
      <c r="AB21" s="7"/>
      <c r="AC21" s="7"/>
      <c r="AD21" s="7"/>
      <c r="AE21" s="7"/>
    </row>
    <row r="22" spans="1:31" x14ac:dyDescent="0.25">
      <c r="A22">
        <v>16</v>
      </c>
      <c r="B22">
        <f t="shared" si="5"/>
        <v>0.53390817568584059</v>
      </c>
      <c r="C22" s="9">
        <v>45</v>
      </c>
      <c r="D22" s="9">
        <v>40</v>
      </c>
      <c r="E22">
        <f>'Q2 Base'!B30</f>
        <v>2.078E-3</v>
      </c>
      <c r="F22">
        <f>'Q2 Base'!C25</f>
        <v>1.3829999999999999E-3</v>
      </c>
      <c r="G22">
        <f t="shared" si="0"/>
        <v>0.99792199999999998</v>
      </c>
      <c r="H22">
        <f t="shared" si="0"/>
        <v>0.99861699999999998</v>
      </c>
      <c r="I22">
        <f t="shared" si="1"/>
        <v>0.99654187387399995</v>
      </c>
      <c r="J22" s="61">
        <f t="shared" si="11"/>
        <v>3.4581261260000495E-3</v>
      </c>
      <c r="K22" s="61">
        <f t="shared" si="12"/>
        <v>0.97035010579832648</v>
      </c>
      <c r="L22">
        <f t="shared" si="13"/>
        <v>1.7915785648591892E-3</v>
      </c>
      <c r="Q22">
        <v>16</v>
      </c>
      <c r="R22">
        <f t="shared" si="6"/>
        <v>0.53390817568584059</v>
      </c>
      <c r="S22">
        <f>'Q2 Base'!B30</f>
        <v>2.078E-3</v>
      </c>
      <c r="T22">
        <f>'Q2 Base'!C25</f>
        <v>1.3829999999999999E-3</v>
      </c>
      <c r="U22" s="63">
        <f t="shared" si="7"/>
        <v>9821.4624351155289</v>
      </c>
      <c r="V22" s="63">
        <f t="shared" si="2"/>
        <v>20.408998940170068</v>
      </c>
      <c r="W22" s="63">
        <f t="shared" si="8"/>
        <v>9879.894284673428</v>
      </c>
      <c r="X22" s="63">
        <f t="shared" si="3"/>
        <v>13.66389379570335</v>
      </c>
      <c r="Y22" s="64">
        <f t="shared" si="4"/>
        <v>97035010.579832688</v>
      </c>
      <c r="Z22" s="7">
        <f t="shared" si="9"/>
        <v>335559.30522282422</v>
      </c>
      <c r="AA22" s="65">
        <f t="shared" si="10"/>
        <v>1.7915785648592623E-3</v>
      </c>
      <c r="AB22" s="7"/>
      <c r="AC22" s="7"/>
      <c r="AD22" s="7"/>
      <c r="AE22" s="7"/>
    </row>
    <row r="23" spans="1:31" x14ac:dyDescent="0.25">
      <c r="A23">
        <v>17</v>
      </c>
      <c r="B23">
        <f t="shared" si="5"/>
        <v>0.5133732458517698</v>
      </c>
      <c r="C23" s="9">
        <v>46</v>
      </c>
      <c r="D23" s="9">
        <v>41</v>
      </c>
      <c r="E23">
        <f>'Q2 Base'!B31</f>
        <v>2.2269999999999998E-3</v>
      </c>
      <c r="F23">
        <f>'Q2 Base'!C26</f>
        <v>1.5709999999999999E-3</v>
      </c>
      <c r="G23">
        <f t="shared" si="0"/>
        <v>0.99777300000000002</v>
      </c>
      <c r="H23">
        <f t="shared" si="0"/>
        <v>0.99842900000000001</v>
      </c>
      <c r="I23">
        <f t="shared" si="1"/>
        <v>0.99620549861700003</v>
      </c>
      <c r="J23" s="61">
        <f t="shared" si="11"/>
        <v>3.7945013829999708E-3</v>
      </c>
      <c r="K23" s="61">
        <f t="shared" si="12"/>
        <v>0.96699451274609838</v>
      </c>
      <c r="L23">
        <f t="shared" si="13"/>
        <v>1.8837009510183332E-3</v>
      </c>
      <c r="Q23">
        <v>17</v>
      </c>
      <c r="R23">
        <f t="shared" si="6"/>
        <v>0.5133732458517698</v>
      </c>
      <c r="S23">
        <f>'Q2 Base'!B31</f>
        <v>2.2269999999999998E-3</v>
      </c>
      <c r="T23">
        <f>'Q2 Base'!C26</f>
        <v>1.5709999999999999E-3</v>
      </c>
      <c r="U23" s="63">
        <f t="shared" si="7"/>
        <v>9801.053436175358</v>
      </c>
      <c r="V23" s="63">
        <f t="shared" si="2"/>
        <v>21.826946002362522</v>
      </c>
      <c r="W23" s="63">
        <f t="shared" si="8"/>
        <v>9866.2303908777249</v>
      </c>
      <c r="X23" s="63">
        <f t="shared" si="3"/>
        <v>15.499847944068906</v>
      </c>
      <c r="Y23" s="64">
        <f t="shared" si="4"/>
        <v>96699451.274609864</v>
      </c>
      <c r="Z23" s="7">
        <f t="shared" si="9"/>
        <v>366926.20159684122</v>
      </c>
      <c r="AA23" s="65">
        <f t="shared" si="10"/>
        <v>1.8837009510183121E-3</v>
      </c>
      <c r="AB23" s="7"/>
      <c r="AC23" s="7"/>
      <c r="AD23" s="7"/>
      <c r="AE23" s="7"/>
    </row>
    <row r="24" spans="1:31" x14ac:dyDescent="0.25">
      <c r="A24">
        <v>18</v>
      </c>
      <c r="B24">
        <f t="shared" si="5"/>
        <v>0.49362812101131709</v>
      </c>
      <c r="C24" s="9">
        <v>47</v>
      </c>
      <c r="D24" s="9">
        <v>42</v>
      </c>
      <c r="E24">
        <f>'Q2 Base'!B32</f>
        <v>2.604E-3</v>
      </c>
      <c r="F24">
        <f>'Q2 Base'!C27</f>
        <v>1.6540000000000001E-3</v>
      </c>
      <c r="G24">
        <f t="shared" si="0"/>
        <v>0.99739599999999995</v>
      </c>
      <c r="H24">
        <f t="shared" si="0"/>
        <v>0.99834599999999996</v>
      </c>
      <c r="I24">
        <f t="shared" si="1"/>
        <v>0.99574630701599987</v>
      </c>
      <c r="J24" s="61">
        <f t="shared" si="11"/>
        <v>4.2536929840001347E-3</v>
      </c>
      <c r="K24" s="61">
        <f t="shared" si="12"/>
        <v>0.96332525073012998</v>
      </c>
      <c r="L24">
        <f t="shared" si="13"/>
        <v>2.0227349462472169E-3</v>
      </c>
      <c r="Q24">
        <v>18</v>
      </c>
      <c r="R24">
        <f t="shared" si="6"/>
        <v>0.49362812101131709</v>
      </c>
      <c r="S24">
        <f>'Q2 Base'!B32</f>
        <v>2.604E-3</v>
      </c>
      <c r="T24">
        <f>'Q2 Base'!C27</f>
        <v>1.6540000000000001E-3</v>
      </c>
      <c r="U24" s="63">
        <f t="shared" si="7"/>
        <v>9779.2264901729959</v>
      </c>
      <c r="V24" s="63">
        <f t="shared" si="2"/>
        <v>25.465105780410482</v>
      </c>
      <c r="W24" s="63">
        <f t="shared" si="8"/>
        <v>9850.7305429336557</v>
      </c>
      <c r="X24" s="63">
        <f t="shared" si="3"/>
        <v>16.293108318012269</v>
      </c>
      <c r="Y24" s="64">
        <f t="shared" si="4"/>
        <v>96332525.073013023</v>
      </c>
      <c r="Z24" s="7">
        <f t="shared" si="9"/>
        <v>409768.98603408039</v>
      </c>
      <c r="AA24" s="65">
        <f t="shared" si="10"/>
        <v>2.0227349462471574E-3</v>
      </c>
      <c r="AB24" s="7"/>
      <c r="AC24" s="7"/>
      <c r="AD24" s="7"/>
      <c r="AE24" s="7"/>
    </row>
    <row r="25" spans="1:31" x14ac:dyDescent="0.25">
      <c r="A25">
        <v>19</v>
      </c>
      <c r="B25">
        <f t="shared" si="5"/>
        <v>0.47464242404934331</v>
      </c>
      <c r="C25" s="9">
        <v>48</v>
      </c>
      <c r="D25" s="9">
        <v>43</v>
      </c>
      <c r="E25">
        <f>'Q2 Base'!B33</f>
        <v>2.6589999999999999E-3</v>
      </c>
      <c r="F25">
        <f>'Q2 Base'!C28</f>
        <v>1.8450000000000001E-3</v>
      </c>
      <c r="G25">
        <f t="shared" si="0"/>
        <v>0.99734100000000003</v>
      </c>
      <c r="H25">
        <f t="shared" si="0"/>
        <v>0.99815500000000001</v>
      </c>
      <c r="I25">
        <f t="shared" si="1"/>
        <v>0.99550090585500006</v>
      </c>
      <c r="J25" s="61">
        <f t="shared" si="11"/>
        <v>4.4990941449999378E-3</v>
      </c>
      <c r="K25" s="61">
        <f t="shared" si="12"/>
        <v>0.95922756086978911</v>
      </c>
      <c r="L25">
        <f t="shared" si="13"/>
        <v>2.048392999369022E-3</v>
      </c>
      <c r="Q25">
        <v>19</v>
      </c>
      <c r="R25">
        <f t="shared" si="6"/>
        <v>0.47464242404934331</v>
      </c>
      <c r="S25">
        <f>'Q2 Base'!B33</f>
        <v>2.6589999999999999E-3</v>
      </c>
      <c r="T25">
        <f>'Q2 Base'!C28</f>
        <v>1.8450000000000001E-3</v>
      </c>
      <c r="U25" s="63">
        <f t="shared" si="7"/>
        <v>9753.7613843925847</v>
      </c>
      <c r="V25" s="63">
        <f t="shared" si="2"/>
        <v>25.935251521099882</v>
      </c>
      <c r="W25" s="63">
        <f t="shared" si="8"/>
        <v>9834.4374346156437</v>
      </c>
      <c r="X25" s="63">
        <f t="shared" si="3"/>
        <v>18.144537066865862</v>
      </c>
      <c r="Y25" s="64">
        <f t="shared" si="4"/>
        <v>95922756.086978942</v>
      </c>
      <c r="Z25" s="7">
        <f t="shared" si="9"/>
        <v>431565.51028318703</v>
      </c>
      <c r="AA25" s="65">
        <f t="shared" si="10"/>
        <v>2.0483929993690372E-3</v>
      </c>
      <c r="AB25" s="7"/>
      <c r="AC25" s="7"/>
      <c r="AD25" s="7"/>
      <c r="AE25" s="7"/>
    </row>
    <row r="26" spans="1:31" x14ac:dyDescent="0.25">
      <c r="A26">
        <v>20</v>
      </c>
      <c r="B26">
        <f t="shared" si="5"/>
        <v>0.45638694620129161</v>
      </c>
      <c r="C26" s="9">
        <v>49</v>
      </c>
      <c r="D26" s="9">
        <v>44</v>
      </c>
      <c r="E26">
        <f>'Q2 Base'!B34</f>
        <v>2.967E-3</v>
      </c>
      <c r="F26">
        <f>'Q2 Base'!C29</f>
        <v>1.9650000000000002E-3</v>
      </c>
      <c r="G26">
        <f t="shared" si="0"/>
        <v>0.99703299999999995</v>
      </c>
      <c r="H26">
        <f t="shared" si="0"/>
        <v>0.99803500000000001</v>
      </c>
      <c r="I26">
        <f t="shared" si="1"/>
        <v>0.99507383015499995</v>
      </c>
      <c r="J26" s="61">
        <f t="shared" si="11"/>
        <v>4.9261698450000502E-3</v>
      </c>
      <c r="K26" s="61">
        <f t="shared" si="12"/>
        <v>0.95491190576695728</v>
      </c>
      <c r="L26">
        <f t="shared" si="13"/>
        <v>2.1468707725428643E-3</v>
      </c>
      <c r="Q26">
        <v>20</v>
      </c>
      <c r="R26">
        <f t="shared" si="6"/>
        <v>0.45638694620129161</v>
      </c>
      <c r="S26">
        <f>'Q2 Base'!B34</f>
        <v>2.967E-3</v>
      </c>
      <c r="T26">
        <f>'Q2 Base'!C29</f>
        <v>1.9650000000000002E-3</v>
      </c>
      <c r="U26" s="63">
        <f t="shared" si="7"/>
        <v>9727.8261328714852</v>
      </c>
      <c r="V26" s="63">
        <f t="shared" si="2"/>
        <v>28.862460136229696</v>
      </c>
      <c r="W26" s="63">
        <f t="shared" si="8"/>
        <v>9816.2928975487775</v>
      </c>
      <c r="X26" s="63">
        <f t="shared" si="3"/>
        <v>19.289015543683348</v>
      </c>
      <c r="Y26" s="64">
        <f t="shared" si="4"/>
        <v>95491190.576695755</v>
      </c>
      <c r="Z26" s="7">
        <f t="shared" si="9"/>
        <v>470405.82348206639</v>
      </c>
      <c r="AA26" s="65">
        <f t="shared" si="10"/>
        <v>2.1468707725428413E-3</v>
      </c>
      <c r="AB26" s="7"/>
      <c r="AC26" s="7"/>
      <c r="AD26" s="7"/>
      <c r="AE26" s="7"/>
    </row>
    <row r="27" spans="1:31" x14ac:dyDescent="0.25">
      <c r="A27">
        <v>21</v>
      </c>
      <c r="B27">
        <f t="shared" si="5"/>
        <v>0.43883360211662653</v>
      </c>
      <c r="C27" s="9">
        <v>50</v>
      </c>
      <c r="D27" s="9">
        <v>45</v>
      </c>
      <c r="E27">
        <f>'Q2 Base'!B35</f>
        <v>3.2820000000000002E-3</v>
      </c>
      <c r="F27">
        <f>'Q2 Base'!C30</f>
        <v>2.0569999999999998E-3</v>
      </c>
      <c r="G27">
        <f t="shared" si="0"/>
        <v>0.99671799999999999</v>
      </c>
      <c r="H27">
        <f t="shared" si="0"/>
        <v>0.99794300000000002</v>
      </c>
      <c r="I27">
        <f t="shared" si="1"/>
        <v>0.99466775107400007</v>
      </c>
      <c r="J27" s="61">
        <f t="shared" si="11"/>
        <v>5.3322489259999273E-3</v>
      </c>
      <c r="K27" s="61">
        <f t="shared" si="12"/>
        <v>0.95020784753213661</v>
      </c>
      <c r="L27">
        <f t="shared" si="13"/>
        <v>2.2234578603906258E-3</v>
      </c>
      <c r="Q27">
        <v>21</v>
      </c>
      <c r="R27">
        <f t="shared" si="6"/>
        <v>0.43883360211662653</v>
      </c>
      <c r="S27">
        <f>'Q2 Base'!B35</f>
        <v>3.2820000000000002E-3</v>
      </c>
      <c r="T27">
        <f>'Q2 Base'!C30</f>
        <v>2.0569999999999998E-3</v>
      </c>
      <c r="U27" s="63">
        <f t="shared" si="7"/>
        <v>9698.9636727352554</v>
      </c>
      <c r="V27" s="63">
        <f t="shared" si="2"/>
        <v>31.83199877391711</v>
      </c>
      <c r="W27" s="63">
        <f t="shared" si="8"/>
        <v>9797.0038820050941</v>
      </c>
      <c r="X27" s="63">
        <f t="shared" si="3"/>
        <v>20.152436985284478</v>
      </c>
      <c r="Y27" s="64">
        <f t="shared" si="4"/>
        <v>95020784.753213689</v>
      </c>
      <c r="Z27" s="7">
        <f t="shared" si="9"/>
        <v>506674.47744801641</v>
      </c>
      <c r="AA27" s="65">
        <f t="shared" si="10"/>
        <v>2.2234578603907251E-3</v>
      </c>
      <c r="AB27" s="7"/>
      <c r="AC27" s="7"/>
      <c r="AD27" s="7"/>
      <c r="AE27" s="7"/>
    </row>
    <row r="28" spans="1:31" x14ac:dyDescent="0.25">
      <c r="A28">
        <v>22</v>
      </c>
      <c r="B28">
        <f t="shared" si="5"/>
        <v>0.42195538665060239</v>
      </c>
      <c r="C28" s="9">
        <v>51</v>
      </c>
      <c r="D28" s="9">
        <v>46</v>
      </c>
      <c r="E28">
        <f>'Q2 Base'!B36</f>
        <v>3.3509999999999998E-3</v>
      </c>
      <c r="F28">
        <f>'Q2 Base'!C31</f>
        <v>2.2060000000000001E-3</v>
      </c>
      <c r="G28">
        <f t="shared" si="0"/>
        <v>0.99664900000000001</v>
      </c>
      <c r="H28">
        <f t="shared" si="0"/>
        <v>0.99779399999999996</v>
      </c>
      <c r="I28">
        <f t="shared" si="1"/>
        <v>0.99445039230599996</v>
      </c>
      <c r="J28" s="61">
        <f t="shared" si="11"/>
        <v>5.5496076940000361E-3</v>
      </c>
      <c r="K28" s="61">
        <f t="shared" si="12"/>
        <v>0.94514110275765661</v>
      </c>
      <c r="L28">
        <f t="shared" si="13"/>
        <v>2.2132245014390454E-3</v>
      </c>
      <c r="Q28">
        <v>22</v>
      </c>
      <c r="R28">
        <f t="shared" si="6"/>
        <v>0.42195538665060239</v>
      </c>
      <c r="S28">
        <f>'Q2 Base'!B36</f>
        <v>3.3509999999999998E-3</v>
      </c>
      <c r="T28">
        <f>'Q2 Base'!C31</f>
        <v>2.2060000000000001E-3</v>
      </c>
      <c r="U28" s="63">
        <f t="shared" si="7"/>
        <v>9667.1316739613376</v>
      </c>
      <c r="V28" s="63">
        <f t="shared" si="2"/>
        <v>32.394558239444443</v>
      </c>
      <c r="W28" s="63">
        <f t="shared" si="8"/>
        <v>9776.851445019809</v>
      </c>
      <c r="X28" s="63">
        <f t="shared" si="3"/>
        <v>21.567734287713698</v>
      </c>
      <c r="Y28" s="64">
        <f t="shared" si="4"/>
        <v>94514110.275765672</v>
      </c>
      <c r="Z28" s="7">
        <f t="shared" si="9"/>
        <v>524516.23357795179</v>
      </c>
      <c r="AA28" s="65">
        <f t="shared" si="10"/>
        <v>2.2132245014390233E-3</v>
      </c>
      <c r="AB28" s="7"/>
      <c r="AC28" s="7"/>
      <c r="AD28" s="7"/>
      <c r="AE28" s="7"/>
    </row>
    <row r="29" spans="1:31" x14ac:dyDescent="0.25">
      <c r="A29">
        <v>23</v>
      </c>
      <c r="B29">
        <f t="shared" si="5"/>
        <v>0.40572633331788688</v>
      </c>
      <c r="C29" s="9">
        <v>52</v>
      </c>
      <c r="D29" s="9">
        <v>47</v>
      </c>
      <c r="E29">
        <f>'Q2 Base'!B37</f>
        <v>3.64E-3</v>
      </c>
      <c r="F29">
        <f>'Q2 Base'!C32</f>
        <v>2.5829999999999998E-3</v>
      </c>
      <c r="G29">
        <f t="shared" si="0"/>
        <v>0.99636000000000002</v>
      </c>
      <c r="H29">
        <f t="shared" si="0"/>
        <v>0.997417</v>
      </c>
      <c r="I29">
        <f t="shared" si="1"/>
        <v>0.99378640212000002</v>
      </c>
      <c r="J29" s="61">
        <f t="shared" si="11"/>
        <v>6.2135978799999769E-3</v>
      </c>
      <c r="K29" s="61">
        <f t="shared" si="12"/>
        <v>0.93989594042187707</v>
      </c>
      <c r="L29">
        <f t="shared" si="13"/>
        <v>2.3694967311830837E-3</v>
      </c>
      <c r="Q29">
        <v>23</v>
      </c>
      <c r="R29">
        <f t="shared" si="6"/>
        <v>0.40572633331788688</v>
      </c>
      <c r="S29">
        <f>'Q2 Base'!B37</f>
        <v>3.64E-3</v>
      </c>
      <c r="T29">
        <f>'Q2 Base'!C32</f>
        <v>2.5829999999999998E-3</v>
      </c>
      <c r="U29" s="63">
        <f t="shared" si="7"/>
        <v>9634.7371157218931</v>
      </c>
      <c r="V29" s="63">
        <f t="shared" si="2"/>
        <v>35.070443101227688</v>
      </c>
      <c r="W29" s="63">
        <f t="shared" si="8"/>
        <v>9755.2837107320956</v>
      </c>
      <c r="X29" s="63">
        <f t="shared" si="3"/>
        <v>25.197897824821002</v>
      </c>
      <c r="Y29" s="64">
        <f t="shared" si="4"/>
        <v>93989594.042187721</v>
      </c>
      <c r="Z29" s="7">
        <f t="shared" si="9"/>
        <v>584013.54228259623</v>
      </c>
      <c r="AA29" s="65">
        <f t="shared" si="10"/>
        <v>2.3694967311830846E-3</v>
      </c>
      <c r="AB29" s="7"/>
      <c r="AC29" s="7"/>
      <c r="AD29" s="7"/>
      <c r="AE29" s="7"/>
    </row>
    <row r="30" spans="1:31" x14ac:dyDescent="0.25">
      <c r="A30">
        <v>24</v>
      </c>
      <c r="B30">
        <f t="shared" si="5"/>
        <v>0.39012147434412198</v>
      </c>
      <c r="C30" s="9">
        <v>53</v>
      </c>
      <c r="D30" s="9">
        <v>48</v>
      </c>
      <c r="E30">
        <f>'Q2 Base'!B38</f>
        <v>3.8570000000000002E-3</v>
      </c>
      <c r="F30">
        <f>'Q2 Base'!C33</f>
        <v>2.6389999999999999E-3</v>
      </c>
      <c r="G30">
        <f t="shared" si="0"/>
        <v>0.996143</v>
      </c>
      <c r="H30">
        <f t="shared" si="0"/>
        <v>0.99736100000000005</v>
      </c>
      <c r="I30">
        <f t="shared" si="1"/>
        <v>0.99351417862300007</v>
      </c>
      <c r="J30" s="61">
        <f t="shared" si="11"/>
        <v>6.485821376999934E-3</v>
      </c>
      <c r="K30" s="61">
        <f t="shared" si="12"/>
        <v>0.93405580499905116</v>
      </c>
      <c r="L30">
        <f t="shared" si="13"/>
        <v>2.3634023579209348E-3</v>
      </c>
      <c r="Q30">
        <v>24</v>
      </c>
      <c r="R30">
        <f t="shared" si="6"/>
        <v>0.39012147434412198</v>
      </c>
      <c r="S30">
        <f>'Q2 Base'!B38</f>
        <v>3.8570000000000002E-3</v>
      </c>
      <c r="T30">
        <f>'Q2 Base'!C33</f>
        <v>2.6389999999999999E-3</v>
      </c>
      <c r="U30" s="63">
        <f t="shared" si="7"/>
        <v>9599.6666726206658</v>
      </c>
      <c r="V30" s="63">
        <f t="shared" si="2"/>
        <v>37.025914356297911</v>
      </c>
      <c r="W30" s="63">
        <f t="shared" si="8"/>
        <v>9730.0858129072749</v>
      </c>
      <c r="X30" s="63">
        <f t="shared" si="3"/>
        <v>25.677696460262297</v>
      </c>
      <c r="Y30" s="64">
        <f t="shared" si="4"/>
        <v>93405580.499905124</v>
      </c>
      <c r="Z30" s="7">
        <f t="shared" si="9"/>
        <v>605811.91073738039</v>
      </c>
      <c r="AA30" s="65">
        <f t="shared" si="10"/>
        <v>2.3634023579209643E-3</v>
      </c>
      <c r="AB30" s="7"/>
      <c r="AC30" s="7"/>
      <c r="AD30" s="7"/>
      <c r="AE30" s="7"/>
    </row>
    <row r="31" spans="1:31" x14ac:dyDescent="0.25">
      <c r="A31">
        <v>25</v>
      </c>
      <c r="B31">
        <f t="shared" si="5"/>
        <v>0.37511680225396343</v>
      </c>
      <c r="C31" s="9">
        <v>54</v>
      </c>
      <c r="D31" s="9">
        <v>49</v>
      </c>
      <c r="E31">
        <f>'Q2 Base'!B39</f>
        <v>4.2139999999999999E-3</v>
      </c>
      <c r="F31">
        <f>'Q2 Base'!C34</f>
        <v>2.9459999999999998E-3</v>
      </c>
      <c r="G31">
        <f t="shared" si="0"/>
        <v>0.99578599999999995</v>
      </c>
      <c r="H31">
        <f t="shared" si="0"/>
        <v>0.997054</v>
      </c>
      <c r="I31">
        <f t="shared" si="1"/>
        <v>0.99285241444399996</v>
      </c>
      <c r="J31" s="61">
        <f t="shared" si="11"/>
        <v>7.1475855560000356E-3</v>
      </c>
      <c r="K31" s="61">
        <f t="shared" si="12"/>
        <v>0.92799768589167742</v>
      </c>
      <c r="L31">
        <f t="shared" si="13"/>
        <v>2.4881283135562587E-3</v>
      </c>
      <c r="Q31">
        <v>25</v>
      </c>
      <c r="R31">
        <f t="shared" si="6"/>
        <v>0.37511680225396343</v>
      </c>
      <c r="S31">
        <f>'Q2 Base'!B39</f>
        <v>4.2139999999999999E-3</v>
      </c>
      <c r="T31">
        <f>'Q2 Base'!C34</f>
        <v>2.9459999999999998E-3</v>
      </c>
      <c r="U31" s="63">
        <f t="shared" si="7"/>
        <v>9562.6407582643678</v>
      </c>
      <c r="V31" s="63">
        <f t="shared" si="2"/>
        <v>40.296968155326041</v>
      </c>
      <c r="W31" s="63">
        <f t="shared" si="8"/>
        <v>9704.4081164470117</v>
      </c>
      <c r="X31" s="63">
        <f t="shared" si="3"/>
        <v>28.589186311052895</v>
      </c>
      <c r="Y31" s="64">
        <f t="shared" si="4"/>
        <v>92799768.589167744</v>
      </c>
      <c r="Z31" s="7">
        <f t="shared" si="9"/>
        <v>663294.28556808829</v>
      </c>
      <c r="AA31" s="65">
        <f t="shared" si="10"/>
        <v>2.4881283135562851E-3</v>
      </c>
      <c r="AB31" s="7"/>
      <c r="AC31" s="7"/>
      <c r="AD31" s="7"/>
      <c r="AE31" s="7"/>
    </row>
    <row r="32" spans="1:31" x14ac:dyDescent="0.25">
      <c r="A32">
        <v>26</v>
      </c>
      <c r="B32">
        <f t="shared" si="5"/>
        <v>0.36068923293650329</v>
      </c>
      <c r="C32" s="9">
        <v>55</v>
      </c>
      <c r="D32" s="9">
        <v>50</v>
      </c>
      <c r="E32">
        <f>'Q2 Base'!B40</f>
        <v>4.764E-3</v>
      </c>
      <c r="F32">
        <f>'Q2 Base'!C35</f>
        <v>3.261E-3</v>
      </c>
      <c r="G32">
        <f t="shared" si="0"/>
        <v>0.99523600000000001</v>
      </c>
      <c r="H32">
        <f t="shared" si="0"/>
        <v>0.99673900000000004</v>
      </c>
      <c r="I32">
        <f t="shared" si="1"/>
        <v>0.99199053540400006</v>
      </c>
      <c r="J32" s="61">
        <f t="shared" si="11"/>
        <v>8.0094645959999378E-3</v>
      </c>
      <c r="K32" s="61">
        <f t="shared" si="12"/>
        <v>0.92136474303599658</v>
      </c>
      <c r="L32">
        <f t="shared" si="13"/>
        <v>2.6617560739342827E-3</v>
      </c>
      <c r="Q32">
        <v>26</v>
      </c>
      <c r="R32">
        <f t="shared" si="6"/>
        <v>0.36068923293650329</v>
      </c>
      <c r="S32">
        <f>'Q2 Base'!B40</f>
        <v>4.764E-3</v>
      </c>
      <c r="T32">
        <f>'Q2 Base'!C35</f>
        <v>3.261E-3</v>
      </c>
      <c r="U32" s="63">
        <f t="shared" si="7"/>
        <v>9522.3437901090419</v>
      </c>
      <c r="V32" s="63">
        <f t="shared" si="2"/>
        <v>45.364445816079474</v>
      </c>
      <c r="W32" s="63">
        <f t="shared" si="8"/>
        <v>9675.818930135958</v>
      </c>
      <c r="X32" s="63">
        <f t="shared" si="3"/>
        <v>31.552845531173361</v>
      </c>
      <c r="Y32" s="64">
        <f t="shared" si="4"/>
        <v>92136474.303599656</v>
      </c>
      <c r="Z32" s="7">
        <f t="shared" si="9"/>
        <v>737963.82893495262</v>
      </c>
      <c r="AA32" s="65">
        <f t="shared" si="10"/>
        <v>2.6617560739343299E-3</v>
      </c>
      <c r="AB32" s="7"/>
      <c r="AC32" s="7"/>
      <c r="AD32" s="7"/>
      <c r="AE32" s="7"/>
    </row>
    <row r="33" spans="1:31" x14ac:dyDescent="0.25">
      <c r="A33">
        <v>27</v>
      </c>
      <c r="B33">
        <f t="shared" si="5"/>
        <v>0.34681657013125311</v>
      </c>
      <c r="C33" s="9">
        <v>56</v>
      </c>
      <c r="D33" s="9">
        <v>51</v>
      </c>
      <c r="E33">
        <f>'Q2 Base'!B41</f>
        <v>5.2620000000000002E-3</v>
      </c>
      <c r="F33">
        <f>'Q2 Base'!C36</f>
        <v>3.3300000000000001E-3</v>
      </c>
      <c r="G33">
        <f t="shared" si="0"/>
        <v>0.99473800000000001</v>
      </c>
      <c r="H33">
        <f t="shared" si="0"/>
        <v>0.99666999999999994</v>
      </c>
      <c r="I33">
        <f t="shared" si="1"/>
        <v>0.99142552245999993</v>
      </c>
      <c r="J33" s="61">
        <f t="shared" si="11"/>
        <v>8.5744775400000695E-3</v>
      </c>
      <c r="K33" s="61">
        <f t="shared" si="12"/>
        <v>0.91398510474664718</v>
      </c>
      <c r="L33">
        <f t="shared" si="13"/>
        <v>2.7179822993856875E-3</v>
      </c>
      <c r="Q33">
        <v>27</v>
      </c>
      <c r="R33">
        <f t="shared" si="6"/>
        <v>0.34681657013125311</v>
      </c>
      <c r="S33">
        <f>'Q2 Base'!B41</f>
        <v>5.2620000000000002E-3</v>
      </c>
      <c r="T33">
        <f>'Q2 Base'!C36</f>
        <v>3.3300000000000001E-3</v>
      </c>
      <c r="U33" s="63">
        <f t="shared" si="7"/>
        <v>9476.9793442929622</v>
      </c>
      <c r="V33" s="63">
        <f t="shared" si="2"/>
        <v>49.867865309669568</v>
      </c>
      <c r="W33" s="63">
        <f t="shared" si="8"/>
        <v>9644.2660846047838</v>
      </c>
      <c r="X33" s="63">
        <f t="shared" si="3"/>
        <v>32.115406061733928</v>
      </c>
      <c r="Y33" s="64">
        <f t="shared" si="4"/>
        <v>91398510.474664703</v>
      </c>
      <c r="Z33" s="7">
        <f t="shared" si="9"/>
        <v>783694.47525447607</v>
      </c>
      <c r="AA33" s="65">
        <f t="shared" si="10"/>
        <v>2.7179822993856958E-3</v>
      </c>
      <c r="AB33" s="7"/>
      <c r="AC33" s="7"/>
      <c r="AD33" s="7"/>
      <c r="AE33" s="7"/>
    </row>
    <row r="34" spans="1:31" x14ac:dyDescent="0.25">
      <c r="A34">
        <v>28</v>
      </c>
      <c r="B34">
        <f t="shared" si="5"/>
        <v>0.33347747128005106</v>
      </c>
      <c r="C34" s="9">
        <v>57</v>
      </c>
      <c r="D34" s="9">
        <v>52</v>
      </c>
      <c r="E34">
        <f>'Q2 Base'!B42</f>
        <v>5.7019999999999996E-3</v>
      </c>
      <c r="F34">
        <f>'Q2 Base'!C37</f>
        <v>3.6189999999999998E-3</v>
      </c>
      <c r="G34">
        <f t="shared" si="0"/>
        <v>0.99429800000000002</v>
      </c>
      <c r="H34">
        <f t="shared" si="0"/>
        <v>0.99638099999999996</v>
      </c>
      <c r="I34">
        <f t="shared" si="1"/>
        <v>0.990699635538</v>
      </c>
      <c r="J34" s="61">
        <f t="shared" si="11"/>
        <v>9.3003644619999992E-3</v>
      </c>
      <c r="K34" s="61">
        <f t="shared" si="12"/>
        <v>0.90614815999410248</v>
      </c>
      <c r="L34">
        <f t="shared" si="13"/>
        <v>2.8103841052251775E-3</v>
      </c>
      <c r="Q34">
        <v>28</v>
      </c>
      <c r="R34">
        <f t="shared" si="6"/>
        <v>0.33347747128005106</v>
      </c>
      <c r="S34">
        <f>'Q2 Base'!B42</f>
        <v>5.7019999999999996E-3</v>
      </c>
      <c r="T34">
        <f>'Q2 Base'!C37</f>
        <v>3.6189999999999998E-3</v>
      </c>
      <c r="U34" s="63">
        <f t="shared" si="7"/>
        <v>9427.1114789832918</v>
      </c>
      <c r="V34" s="63">
        <f t="shared" si="2"/>
        <v>53.753389653162728</v>
      </c>
      <c r="W34" s="63">
        <f t="shared" si="8"/>
        <v>9612.1506785430502</v>
      </c>
      <c r="X34" s="63">
        <f t="shared" si="3"/>
        <v>34.786373305647295</v>
      </c>
      <c r="Y34" s="64">
        <f t="shared" si="4"/>
        <v>90614815.999410227</v>
      </c>
      <c r="Z34" s="7">
        <f t="shared" si="9"/>
        <v>842750.81445157528</v>
      </c>
      <c r="AA34" s="65">
        <f t="shared" si="10"/>
        <v>2.8103841052251484E-3</v>
      </c>
      <c r="AB34" s="7"/>
      <c r="AC34" s="7"/>
      <c r="AD34" s="7"/>
      <c r="AE34" s="7"/>
    </row>
    <row r="35" spans="1:31" x14ac:dyDescent="0.25">
      <c r="A35">
        <v>29</v>
      </c>
      <c r="B35">
        <f t="shared" si="5"/>
        <v>0.32065141469235675</v>
      </c>
      <c r="C35" s="9">
        <v>58</v>
      </c>
      <c r="D35" s="9">
        <v>53</v>
      </c>
      <c r="E35">
        <f>'Q2 Base'!B43</f>
        <v>6.1879999999999999E-3</v>
      </c>
      <c r="F35">
        <f>'Q2 Base'!C38</f>
        <v>3.836E-3</v>
      </c>
      <c r="G35">
        <f t="shared" si="0"/>
        <v>0.99381200000000003</v>
      </c>
      <c r="H35">
        <f t="shared" si="0"/>
        <v>0.99616400000000005</v>
      </c>
      <c r="I35">
        <f t="shared" si="1"/>
        <v>0.98999973716800005</v>
      </c>
      <c r="J35" s="61">
        <f t="shared" si="11"/>
        <v>1.0000262831999951E-2</v>
      </c>
      <c r="K35" s="61">
        <f t="shared" si="12"/>
        <v>0.8977206518495866</v>
      </c>
      <c r="L35">
        <f t="shared" si="13"/>
        <v>2.8786296277508398E-3</v>
      </c>
      <c r="Q35">
        <v>29</v>
      </c>
      <c r="R35">
        <f t="shared" si="6"/>
        <v>0.32065141469235675</v>
      </c>
      <c r="S35">
        <f>'Q2 Base'!B43</f>
        <v>6.1879999999999999E-3</v>
      </c>
      <c r="T35">
        <f>'Q2 Base'!C38</f>
        <v>3.836E-3</v>
      </c>
      <c r="U35" s="63">
        <f t="shared" si="7"/>
        <v>9373.3580893301296</v>
      </c>
      <c r="V35" s="63">
        <f t="shared" si="2"/>
        <v>58.002339856774839</v>
      </c>
      <c r="W35" s="63">
        <f t="shared" si="8"/>
        <v>9577.3643052374027</v>
      </c>
      <c r="X35" s="63">
        <f t="shared" si="3"/>
        <v>36.738769474890674</v>
      </c>
      <c r="Y35" s="64">
        <f t="shared" si="4"/>
        <v>89772065.184958652</v>
      </c>
      <c r="Z35" s="7">
        <f t="shared" si="9"/>
        <v>897744.24682103097</v>
      </c>
      <c r="AA35" s="65">
        <f t="shared" si="10"/>
        <v>2.8786296277508784E-3</v>
      </c>
      <c r="AB35" s="7"/>
      <c r="AC35" s="7"/>
      <c r="AD35" s="7"/>
      <c r="AE35" s="7"/>
    </row>
    <row r="36" spans="1:31" x14ac:dyDescent="0.25">
      <c r="A36">
        <v>30</v>
      </c>
      <c r="B36">
        <f t="shared" si="5"/>
        <v>0.30831866797341995</v>
      </c>
      <c r="C36" s="9">
        <v>59</v>
      </c>
      <c r="D36" s="9">
        <v>54</v>
      </c>
      <c r="E36">
        <f>'Q2 Base'!B44</f>
        <v>6.7790000000000003E-3</v>
      </c>
      <c r="F36">
        <f>'Q2 Base'!C39</f>
        <v>4.2030000000000001E-3</v>
      </c>
      <c r="G36">
        <f t="shared" si="0"/>
        <v>0.99322100000000002</v>
      </c>
      <c r="H36">
        <f t="shared" si="0"/>
        <v>0.99579700000000004</v>
      </c>
      <c r="I36">
        <f t="shared" si="1"/>
        <v>0.98904649213700002</v>
      </c>
      <c r="J36" s="61">
        <f t="shared" si="11"/>
        <v>1.0953507862999978E-2</v>
      </c>
      <c r="K36" s="61">
        <f t="shared" si="12"/>
        <v>0.88874320938137641</v>
      </c>
      <c r="L36">
        <f t="shared" si="13"/>
        <v>3.0014377522488956E-3</v>
      </c>
      <c r="Q36">
        <v>30</v>
      </c>
      <c r="R36">
        <f t="shared" si="6"/>
        <v>0.30831866797341995</v>
      </c>
      <c r="S36">
        <f>'Q2 Base'!B44</f>
        <v>6.7790000000000003E-3</v>
      </c>
      <c r="T36">
        <f>'Q2 Base'!C39</f>
        <v>4.2030000000000001E-3</v>
      </c>
      <c r="U36" s="63">
        <f t="shared" si="7"/>
        <v>9315.3557494733541</v>
      </c>
      <c r="V36" s="63">
        <f t="shared" si="2"/>
        <v>63.148796625679871</v>
      </c>
      <c r="W36" s="63">
        <f t="shared" si="8"/>
        <v>9540.6255357625123</v>
      </c>
      <c r="X36" s="63">
        <f t="shared" si="3"/>
        <v>40.099249126809838</v>
      </c>
      <c r="Y36" s="64">
        <f t="shared" si="4"/>
        <v>88874320.938137621</v>
      </c>
      <c r="Z36" s="7">
        <f t="shared" si="9"/>
        <v>973485.57321466506</v>
      </c>
      <c r="AA36" s="65">
        <f t="shared" si="10"/>
        <v>3.0014377522488674E-3</v>
      </c>
      <c r="AB36" s="7"/>
      <c r="AC36" s="7"/>
      <c r="AD36" s="7"/>
      <c r="AE36" s="7"/>
    </row>
    <row r="37" spans="1:31" x14ac:dyDescent="0.25">
      <c r="A37">
        <v>31</v>
      </c>
      <c r="B37">
        <f t="shared" si="5"/>
        <v>0.29646025766674994</v>
      </c>
      <c r="C37" s="9">
        <v>60</v>
      </c>
      <c r="D37" s="9">
        <v>55</v>
      </c>
      <c r="E37">
        <f>'Q2 Base'!B45</f>
        <v>7.7409999999999996E-3</v>
      </c>
      <c r="F37">
        <f>'Q2 Base'!C40</f>
        <v>4.7530000000000003E-3</v>
      </c>
      <c r="G37">
        <f t="shared" si="0"/>
        <v>0.992259</v>
      </c>
      <c r="H37">
        <f t="shared" si="0"/>
        <v>0.99524699999999999</v>
      </c>
      <c r="I37">
        <f t="shared" si="1"/>
        <v>0.98754279297299996</v>
      </c>
      <c r="J37" s="61">
        <f t="shared" si="11"/>
        <v>1.2457207027000039E-2</v>
      </c>
      <c r="K37" s="61">
        <f t="shared" si="12"/>
        <v>0.87900835364922969</v>
      </c>
      <c r="L37">
        <f t="shared" si="13"/>
        <v>3.2462365722082205E-3</v>
      </c>
      <c r="Q37">
        <v>31</v>
      </c>
      <c r="R37">
        <f t="shared" si="6"/>
        <v>0.29646025766674994</v>
      </c>
      <c r="S37">
        <f>'Q2 Base'!B45</f>
        <v>7.7409999999999996E-3</v>
      </c>
      <c r="T37">
        <f>'Q2 Base'!C40</f>
        <v>4.7530000000000003E-3</v>
      </c>
      <c r="U37" s="63">
        <f t="shared" si="7"/>
        <v>9252.206952847675</v>
      </c>
      <c r="V37" s="63">
        <f t="shared" si="2"/>
        <v>71.621334021993846</v>
      </c>
      <c r="W37" s="63">
        <f t="shared" si="8"/>
        <v>9500.5262866357025</v>
      </c>
      <c r="X37" s="63">
        <f t="shared" si="3"/>
        <v>45.156001440379498</v>
      </c>
      <c r="Y37" s="64">
        <f t="shared" si="4"/>
        <v>87900835.364922956</v>
      </c>
      <c r="Z37" s="7">
        <f t="shared" si="9"/>
        <v>1094998.9039871097</v>
      </c>
      <c r="AA37" s="65">
        <f t="shared" si="10"/>
        <v>3.246236572208273E-3</v>
      </c>
      <c r="AB37" s="7"/>
      <c r="AC37" s="7"/>
      <c r="AD37" s="7"/>
      <c r="AE37" s="7"/>
    </row>
    <row r="38" spans="1:31" x14ac:dyDescent="0.25">
      <c r="A38">
        <v>32</v>
      </c>
      <c r="B38">
        <f t="shared" si="5"/>
        <v>0.28505794006418261</v>
      </c>
      <c r="C38" s="9">
        <v>61</v>
      </c>
      <c r="D38" s="9">
        <v>56</v>
      </c>
      <c r="E38">
        <f>'Q2 Base'!B46</f>
        <v>8.3389999999999992E-3</v>
      </c>
      <c r="F38">
        <f>'Q2 Base'!C41</f>
        <v>5.2509999999999996E-3</v>
      </c>
      <c r="G38">
        <f t="shared" si="0"/>
        <v>0.99166100000000001</v>
      </c>
      <c r="H38">
        <f t="shared" si="0"/>
        <v>0.99474899999999999</v>
      </c>
      <c r="I38">
        <f t="shared" si="1"/>
        <v>0.98645378808899997</v>
      </c>
      <c r="J38" s="61">
        <f t="shared" si="11"/>
        <v>1.3546211911000028E-2</v>
      </c>
      <c r="K38" s="61">
        <f t="shared" si="12"/>
        <v>0.86805836460935881</v>
      </c>
      <c r="L38">
        <f t="shared" si="13"/>
        <v>3.3519685406315667E-3</v>
      </c>
      <c r="Q38">
        <v>32</v>
      </c>
      <c r="R38">
        <f t="shared" si="6"/>
        <v>0.28505794006418261</v>
      </c>
      <c r="S38">
        <f>'Q2 Base'!B46</f>
        <v>8.3389999999999992E-3</v>
      </c>
      <c r="T38">
        <f>'Q2 Base'!C41</f>
        <v>5.2509999999999996E-3</v>
      </c>
      <c r="U38" s="63">
        <f t="shared" si="7"/>
        <v>9180.5856188256803</v>
      </c>
      <c r="V38" s="63">
        <f t="shared" si="2"/>
        <v>76.556903475387344</v>
      </c>
      <c r="W38" s="63">
        <f t="shared" si="8"/>
        <v>9455.3702851953221</v>
      </c>
      <c r="X38" s="63">
        <f t="shared" si="3"/>
        <v>49.65014936756063</v>
      </c>
      <c r="Y38" s="64">
        <f t="shared" si="4"/>
        <v>86805836.460935846</v>
      </c>
      <c r="Z38" s="7">
        <f t="shared" si="9"/>
        <v>1175890.2558114529</v>
      </c>
      <c r="AA38" s="65">
        <f t="shared" si="10"/>
        <v>3.351968540631575E-3</v>
      </c>
      <c r="AB38" s="7"/>
      <c r="AC38" s="7"/>
      <c r="AD38" s="7"/>
      <c r="AE38" s="7"/>
    </row>
    <row r="39" spans="1:31" x14ac:dyDescent="0.25">
      <c r="A39">
        <v>33</v>
      </c>
      <c r="B39">
        <f t="shared" si="5"/>
        <v>0.2740941731386371</v>
      </c>
      <c r="C39" s="9">
        <v>62</v>
      </c>
      <c r="D39" s="9">
        <v>57</v>
      </c>
      <c r="E39">
        <f>'Q2 Base'!B47</f>
        <v>9.077E-3</v>
      </c>
      <c r="F39">
        <f>'Q2 Base'!C42</f>
        <v>5.692E-3</v>
      </c>
      <c r="G39">
        <f t="shared" si="0"/>
        <v>0.990923</v>
      </c>
      <c r="H39">
        <f t="shared" si="0"/>
        <v>0.99430799999999997</v>
      </c>
      <c r="I39">
        <f t="shared" si="1"/>
        <v>0.98528266628399996</v>
      </c>
      <c r="J39" s="61">
        <f t="shared" si="11"/>
        <v>1.4717333716000036E-2</v>
      </c>
      <c r="K39" s="61">
        <f t="shared" si="12"/>
        <v>0.8562994620512443</v>
      </c>
      <c r="L39">
        <f t="shared" si="13"/>
        <v>3.4542567264068775E-3</v>
      </c>
      <c r="Q39">
        <v>33</v>
      </c>
      <c r="R39">
        <f t="shared" si="6"/>
        <v>0.2740941731386371</v>
      </c>
      <c r="S39">
        <f>'Q2 Base'!B47</f>
        <v>9.077E-3</v>
      </c>
      <c r="T39">
        <f>'Q2 Base'!C42</f>
        <v>5.692E-3</v>
      </c>
      <c r="U39" s="63">
        <f t="shared" si="7"/>
        <v>9104.0287153502923</v>
      </c>
      <c r="V39" s="63">
        <f t="shared" si="2"/>
        <v>82.637268649234599</v>
      </c>
      <c r="W39" s="63">
        <f t="shared" si="8"/>
        <v>9405.7201358277616</v>
      </c>
      <c r="X39" s="63">
        <f t="shared" si="3"/>
        <v>53.537359013131621</v>
      </c>
      <c r="Y39" s="64">
        <f t="shared" si="4"/>
        <v>85629946.205124393</v>
      </c>
      <c r="Z39" s="7">
        <f t="shared" si="9"/>
        <v>1260244.4943839312</v>
      </c>
      <c r="AA39" s="65">
        <f t="shared" si="10"/>
        <v>3.4542567264068342E-3</v>
      </c>
      <c r="AB39" s="7"/>
      <c r="AC39" s="7"/>
      <c r="AD39" s="7"/>
      <c r="AE39" s="7"/>
    </row>
    <row r="40" spans="1:31" x14ac:dyDescent="0.25">
      <c r="A40">
        <v>34</v>
      </c>
      <c r="B40">
        <f t="shared" si="5"/>
        <v>0.26355208955638182</v>
      </c>
      <c r="C40" s="9">
        <v>63</v>
      </c>
      <c r="D40" s="9">
        <v>58</v>
      </c>
      <c r="E40">
        <f>'Q2 Base'!B48</f>
        <v>1.022E-2</v>
      </c>
      <c r="F40">
        <f>'Q2 Base'!C43</f>
        <v>6.1659999999999996E-3</v>
      </c>
      <c r="G40">
        <f t="shared" si="0"/>
        <v>0.98977999999999999</v>
      </c>
      <c r="H40">
        <f t="shared" si="0"/>
        <v>0.993834</v>
      </c>
      <c r="I40">
        <f t="shared" si="1"/>
        <v>0.98367701651999995</v>
      </c>
      <c r="J40" s="61">
        <f t="shared" si="11"/>
        <v>1.6322983480000053E-2</v>
      </c>
      <c r="K40" s="61">
        <f t="shared" si="12"/>
        <v>0.84369701710740486</v>
      </c>
      <c r="L40">
        <f t="shared" si="13"/>
        <v>3.6295477857372911E-3</v>
      </c>
      <c r="Q40">
        <v>34</v>
      </c>
      <c r="R40">
        <f t="shared" si="6"/>
        <v>0.26355208955638182</v>
      </c>
      <c r="S40">
        <f>'Q2 Base'!B48</f>
        <v>1.022E-2</v>
      </c>
      <c r="T40">
        <f>'Q2 Base'!C43</f>
        <v>6.1659999999999996E-3</v>
      </c>
      <c r="U40" s="63">
        <f t="shared" si="7"/>
        <v>9021.3914467010582</v>
      </c>
      <c r="V40" s="63">
        <f t="shared" si="2"/>
        <v>92.198620585284814</v>
      </c>
      <c r="W40" s="63">
        <f t="shared" si="8"/>
        <v>9352.1827768146304</v>
      </c>
      <c r="X40" s="63">
        <f t="shared" si="3"/>
        <v>57.665559001839007</v>
      </c>
      <c r="Y40" s="64">
        <f t="shared" si="4"/>
        <v>84369701.710740462</v>
      </c>
      <c r="Z40" s="7">
        <f t="shared" si="9"/>
        <v>1377165.2472369373</v>
      </c>
      <c r="AA40" s="65">
        <f t="shared" si="10"/>
        <v>3.6295477857372603E-3</v>
      </c>
      <c r="AB40" s="7"/>
      <c r="AC40" s="7"/>
      <c r="AD40" s="7"/>
      <c r="AE40" s="7"/>
    </row>
    <row r="41" spans="1:31" x14ac:dyDescent="0.25">
      <c r="A41">
        <v>35</v>
      </c>
      <c r="B41">
        <f t="shared" si="5"/>
        <v>0.2534154707272902</v>
      </c>
      <c r="C41" s="9">
        <v>64</v>
      </c>
      <c r="D41" s="9">
        <v>59</v>
      </c>
      <c r="E41">
        <f>'Q2 Base'!B49</f>
        <v>1.1154000000000001E-2</v>
      </c>
      <c r="F41">
        <f>'Q2 Base'!C44</f>
        <v>6.757E-3</v>
      </c>
      <c r="G41">
        <f t="shared" si="0"/>
        <v>0.988846</v>
      </c>
      <c r="H41">
        <f t="shared" si="0"/>
        <v>0.99324299999999999</v>
      </c>
      <c r="I41">
        <f t="shared" si="1"/>
        <v>0.98216436757799996</v>
      </c>
      <c r="J41" s="61">
        <f t="shared" si="11"/>
        <v>1.7835632422000036E-2</v>
      </c>
      <c r="K41" s="61">
        <f t="shared" si="12"/>
        <v>0.82992536463503541</v>
      </c>
      <c r="L41">
        <f t="shared" si="13"/>
        <v>3.7511175655279196E-3</v>
      </c>
      <c r="Q41">
        <v>35</v>
      </c>
      <c r="R41">
        <f t="shared" si="6"/>
        <v>0.2534154707272902</v>
      </c>
      <c r="S41">
        <f>'Q2 Base'!B49</f>
        <v>1.1154000000000001E-2</v>
      </c>
      <c r="T41">
        <f>'Q2 Base'!C44</f>
        <v>6.757E-3</v>
      </c>
      <c r="U41" s="63">
        <f t="shared" si="7"/>
        <v>8929.1928261157736</v>
      </c>
      <c r="V41" s="63">
        <f t="shared" si="2"/>
        <v>99.596216782495347</v>
      </c>
      <c r="W41" s="63">
        <f t="shared" si="8"/>
        <v>9294.5172178127923</v>
      </c>
      <c r="X41" s="63">
        <f t="shared" si="3"/>
        <v>62.80305284076104</v>
      </c>
      <c r="Y41" s="64">
        <f t="shared" si="4"/>
        <v>82992536.463503525</v>
      </c>
      <c r="Z41" s="7">
        <f t="shared" si="9"/>
        <v>1480224.3741324842</v>
      </c>
      <c r="AA41" s="65">
        <f t="shared" si="10"/>
        <v>3.7511175655279205E-3</v>
      </c>
      <c r="AB41" s="7"/>
      <c r="AC41" s="7"/>
      <c r="AD41" s="7"/>
      <c r="AE41" s="7"/>
    </row>
    <row r="42" spans="1:31" x14ac:dyDescent="0.25">
      <c r="C42" s="9"/>
      <c r="D42" s="9"/>
      <c r="R42">
        <f t="shared" si="6"/>
        <v>0.24366872185316363</v>
      </c>
      <c r="S42">
        <f>'Q2 Base'!B50</f>
        <v>1.1978000000000001E-2</v>
      </c>
      <c r="T42">
        <f>'Q2 Base'!C45</f>
        <v>7.7190000000000002E-3</v>
      </c>
      <c r="U42" s="63">
        <f t="shared" si="7"/>
        <v>8829.596609333279</v>
      </c>
      <c r="V42" s="63">
        <f t="shared" si="2"/>
        <v>105.76090818659402</v>
      </c>
      <c r="W42" s="63">
        <f t="shared" si="8"/>
        <v>9231.7141649720306</v>
      </c>
      <c r="X42" s="63">
        <f t="shared" si="3"/>
        <v>71.259601639419103</v>
      </c>
      <c r="Y42" s="64">
        <f t="shared" si="4"/>
        <v>81512312.08937104</v>
      </c>
      <c r="Z42" s="7"/>
      <c r="AA42" s="65">
        <f t="shared" si="10"/>
        <v>0</v>
      </c>
      <c r="AB42" s="7"/>
      <c r="AC42" s="7"/>
      <c r="AD42" s="7"/>
      <c r="AE42" s="7"/>
    </row>
  </sheetData>
  <mergeCells count="4">
    <mergeCell ref="U1:V1"/>
    <mergeCell ref="W1:X1"/>
    <mergeCell ref="C3:D3"/>
    <mergeCell ref="G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41A16-58E1-45C4-ABF1-847B1B8CD5A4}">
  <dimension ref="A1:Y53"/>
  <sheetViews>
    <sheetView workbookViewId="0">
      <selection activeCell="M6" sqref="M6"/>
    </sheetView>
  </sheetViews>
  <sheetFormatPr defaultRowHeight="15" x14ac:dyDescent="0.25"/>
  <cols>
    <col min="13" max="13" width="15" customWidth="1"/>
    <col min="14" max="14" width="12" bestFit="1" customWidth="1"/>
    <col min="20" max="20" width="10.5703125" bestFit="1" customWidth="1"/>
    <col min="21" max="22" width="10.5703125" customWidth="1"/>
    <col min="23" max="23" width="11.5703125" bestFit="1" customWidth="1"/>
    <col min="24" max="24" width="12" bestFit="1" customWidth="1"/>
    <col min="25" max="25" width="10.5703125" customWidth="1"/>
  </cols>
  <sheetData>
    <row r="1" spans="1:25" s="48" customFormat="1" x14ac:dyDescent="0.25">
      <c r="B1" s="48" t="s">
        <v>7</v>
      </c>
      <c r="C1" s="48" t="s">
        <v>7</v>
      </c>
      <c r="E1" s="83" t="s">
        <v>7</v>
      </c>
      <c r="F1" s="83"/>
      <c r="G1" s="83" t="s">
        <v>7</v>
      </c>
      <c r="H1" s="83"/>
      <c r="I1" s="48" t="s">
        <v>7</v>
      </c>
      <c r="J1" s="83" t="s">
        <v>7</v>
      </c>
      <c r="K1" s="83"/>
      <c r="L1" s="83"/>
      <c r="M1" s="48" t="s">
        <v>8</v>
      </c>
      <c r="N1" s="48" t="s">
        <v>8</v>
      </c>
      <c r="P1" s="48" t="s">
        <v>89</v>
      </c>
      <c r="Q1" s="48" t="s">
        <v>89</v>
      </c>
      <c r="T1" s="48" t="s">
        <v>8</v>
      </c>
    </row>
    <row r="2" spans="1:25" x14ac:dyDescent="0.25">
      <c r="A2" s="35" t="s">
        <v>6</v>
      </c>
      <c r="B2" s="21">
        <v>0.05</v>
      </c>
      <c r="N2" s="7"/>
    </row>
    <row r="3" spans="1:25" x14ac:dyDescent="0.25">
      <c r="A3" s="35" t="s">
        <v>12</v>
      </c>
      <c r="B3">
        <f>1/(1+B2)</f>
        <v>0.95238095238095233</v>
      </c>
      <c r="N3" s="67"/>
      <c r="T3" s="67"/>
      <c r="U3" s="67"/>
      <c r="V3" s="67"/>
      <c r="W3" s="67"/>
      <c r="X3" s="67"/>
      <c r="Y3" s="67"/>
    </row>
    <row r="4" spans="1:25" s="4" customFormat="1" x14ac:dyDescent="0.25">
      <c r="A4" s="35" t="s">
        <v>14</v>
      </c>
      <c r="B4">
        <f>B2*B3</f>
        <v>4.7619047619047616E-2</v>
      </c>
      <c r="C4" s="10" t="s">
        <v>10</v>
      </c>
      <c r="D4" s="10"/>
    </row>
    <row r="5" spans="1:25" s="4" customFormat="1" ht="61.5" x14ac:dyDescent="0.35">
      <c r="A5" s="38" t="s">
        <v>146</v>
      </c>
      <c r="B5" s="38"/>
      <c r="C5" s="4" t="s">
        <v>148</v>
      </c>
      <c r="D5" s="4" t="s">
        <v>149</v>
      </c>
      <c r="E5" s="37" t="s">
        <v>150</v>
      </c>
      <c r="F5" s="37" t="s">
        <v>151</v>
      </c>
      <c r="G5" s="37" t="s">
        <v>152</v>
      </c>
      <c r="H5" s="37" t="s">
        <v>153</v>
      </c>
      <c r="I5" s="37" t="s">
        <v>154</v>
      </c>
      <c r="J5" s="37" t="s">
        <v>204</v>
      </c>
      <c r="K5" s="37" t="s">
        <v>205</v>
      </c>
      <c r="L5" s="37" t="s">
        <v>206</v>
      </c>
      <c r="M5" s="68" t="s">
        <v>202</v>
      </c>
      <c r="N5" s="68" t="s">
        <v>203</v>
      </c>
      <c r="O5" s="37"/>
      <c r="P5" s="68" t="s">
        <v>207</v>
      </c>
      <c r="Q5" s="68" t="s">
        <v>208</v>
      </c>
      <c r="R5" s="68" t="s">
        <v>230</v>
      </c>
      <c r="S5" s="68" t="s">
        <v>231</v>
      </c>
      <c r="T5" s="68" t="s">
        <v>210</v>
      </c>
      <c r="U5" s="37"/>
      <c r="V5" s="37"/>
      <c r="W5" s="37"/>
      <c r="X5" s="37"/>
      <c r="Y5" s="37"/>
    </row>
    <row r="6" spans="1:25" x14ac:dyDescent="0.25">
      <c r="E6" s="39"/>
      <c r="F6" s="39"/>
      <c r="G6" s="39"/>
      <c r="H6" s="39"/>
      <c r="I6" s="39"/>
      <c r="J6" s="39"/>
      <c r="K6" s="39"/>
      <c r="L6" s="39"/>
      <c r="M6" s="39" t="s">
        <v>229</v>
      </c>
      <c r="N6" s="39">
        <f>SUM(N8:N48)</f>
        <v>10.832906497490017</v>
      </c>
      <c r="O6" s="39"/>
      <c r="P6" s="39"/>
      <c r="Q6" s="39"/>
      <c r="R6" s="39">
        <f>SUM(R8:R48)</f>
        <v>1.3279541559569712</v>
      </c>
      <c r="S6" s="39">
        <f>SUM(S8:S48)</f>
        <v>2.7260018755269262</v>
      </c>
      <c r="T6" s="39">
        <f>SUM(T8:T48)</f>
        <v>4.0539560314838958</v>
      </c>
      <c r="U6" s="39"/>
      <c r="W6" s="36" t="s">
        <v>209</v>
      </c>
      <c r="X6" s="39">
        <v>12000</v>
      </c>
      <c r="Y6" s="84" t="s">
        <v>7</v>
      </c>
    </row>
    <row r="7" spans="1:25" x14ac:dyDescent="0.25">
      <c r="M7" s="39"/>
      <c r="W7" s="36" t="s">
        <v>211</v>
      </c>
      <c r="X7" s="39">
        <v>6000</v>
      </c>
      <c r="Y7" s="84"/>
    </row>
    <row r="8" spans="1:25" x14ac:dyDescent="0.25">
      <c r="A8" s="9">
        <v>1</v>
      </c>
      <c r="B8">
        <v>1</v>
      </c>
      <c r="C8" s="9">
        <v>65</v>
      </c>
      <c r="D8" s="9">
        <v>60</v>
      </c>
      <c r="E8">
        <f>'Q2 Base'!F15</f>
        <v>1.1978000000000001E-2</v>
      </c>
      <c r="F8">
        <f>'Q2 Base'!G10</f>
        <v>7.7190000000000002E-3</v>
      </c>
      <c r="G8">
        <f t="shared" ref="G8" si="0">1-E8</f>
        <v>0.98802199999999996</v>
      </c>
      <c r="H8">
        <f t="shared" ref="H8" si="1">1-F8</f>
        <v>0.99228099999999997</v>
      </c>
      <c r="I8">
        <f t="shared" ref="I8" si="2">G8*H8</f>
        <v>0.98039545818199991</v>
      </c>
      <c r="J8">
        <f>G8</f>
        <v>0.98802199999999996</v>
      </c>
      <c r="K8">
        <f>H8</f>
        <v>0.99228099999999997</v>
      </c>
      <c r="L8">
        <f>I8</f>
        <v>0.98039545818199991</v>
      </c>
      <c r="M8">
        <v>1</v>
      </c>
      <c r="N8">
        <f>M8*B8</f>
        <v>1</v>
      </c>
      <c r="P8">
        <v>0</v>
      </c>
      <c r="Q8">
        <v>0</v>
      </c>
      <c r="R8">
        <v>0</v>
      </c>
      <c r="S8">
        <v>0</v>
      </c>
      <c r="T8">
        <v>0</v>
      </c>
      <c r="W8" s="36" t="s">
        <v>227</v>
      </c>
      <c r="X8" s="67">
        <f>X6*SUM(N8:N48)</f>
        <v>129994.8779698802</v>
      </c>
      <c r="Y8" s="48" t="s">
        <v>7</v>
      </c>
    </row>
    <row r="9" spans="1:25" x14ac:dyDescent="0.25">
      <c r="A9" s="9">
        <v>2</v>
      </c>
      <c r="B9">
        <f>$B$3^A8</f>
        <v>0.95238095238095233</v>
      </c>
      <c r="C9" s="9">
        <v>66</v>
      </c>
      <c r="D9" s="9">
        <v>61</v>
      </c>
      <c r="E9">
        <f>'Q2 Base'!F16</f>
        <v>1.3053E-2</v>
      </c>
      <c r="F9">
        <f>'Q2 Base'!G11</f>
        <v>8.3169999999999997E-3</v>
      </c>
      <c r="G9">
        <f t="shared" ref="G9:G12" si="3">1-E9</f>
        <v>0.98694700000000002</v>
      </c>
      <c r="H9">
        <f t="shared" ref="H9:H12" si="4">1-F9</f>
        <v>0.99168299999999998</v>
      </c>
      <c r="I9">
        <f t="shared" ref="I9:I12" si="5">G9*H9</f>
        <v>0.97873856180100005</v>
      </c>
      <c r="J9">
        <f>J8*G9</f>
        <v>0.97512534883399993</v>
      </c>
      <c r="K9">
        <f>K8*H9</f>
        <v>0.98402819892299997</v>
      </c>
      <c r="L9">
        <f>L8*I9</f>
        <v>0.95955084073728303</v>
      </c>
      <c r="M9">
        <v>1</v>
      </c>
      <c r="N9">
        <f t="shared" ref="N9:N48" si="6">M9*B9</f>
        <v>0.95238095238095233</v>
      </c>
      <c r="P9">
        <v>0</v>
      </c>
      <c r="Q9">
        <v>0</v>
      </c>
      <c r="R9">
        <v>0</v>
      </c>
      <c r="S9">
        <v>0</v>
      </c>
      <c r="T9">
        <v>0</v>
      </c>
      <c r="W9" s="36" t="s">
        <v>228</v>
      </c>
      <c r="X9" s="67">
        <f>X7*SUM(T8:T48)</f>
        <v>24323.736188903375</v>
      </c>
      <c r="Y9" s="48" t="s">
        <v>7</v>
      </c>
    </row>
    <row r="10" spans="1:25" x14ac:dyDescent="0.25">
      <c r="A10" s="9">
        <v>3</v>
      </c>
      <c r="B10">
        <f t="shared" ref="B10:B48" si="7">$B$3^A9</f>
        <v>0.90702947845804982</v>
      </c>
      <c r="C10" s="9">
        <v>67</v>
      </c>
      <c r="D10" s="9">
        <v>62</v>
      </c>
      <c r="E10">
        <f>'Q2 Base'!F17</f>
        <v>1.4088E-2</v>
      </c>
      <c r="F10">
        <f>'Q2 Base'!G12</f>
        <v>9.0550000000000005E-3</v>
      </c>
      <c r="G10">
        <f t="shared" si="3"/>
        <v>0.98591200000000001</v>
      </c>
      <c r="H10">
        <f t="shared" si="4"/>
        <v>0.99094499999999996</v>
      </c>
      <c r="I10">
        <f t="shared" si="5"/>
        <v>0.97698456684000001</v>
      </c>
      <c r="J10">
        <f t="shared" ref="J10:J48" si="8">J9*G10</f>
        <v>0.96138778291962657</v>
      </c>
      <c r="K10">
        <f t="shared" ref="K10:K48" si="9">K9*H10</f>
        <v>0.97511782358175214</v>
      </c>
      <c r="L10">
        <f t="shared" ref="L10:L48" si="10">L9*I10</f>
        <v>0.93746636249867232</v>
      </c>
      <c r="M10">
        <v>1</v>
      </c>
      <c r="N10">
        <f>M10*B10</f>
        <v>0.90702947845804982</v>
      </c>
      <c r="P10">
        <v>0</v>
      </c>
      <c r="Q10">
        <v>0</v>
      </c>
      <c r="R10">
        <v>0</v>
      </c>
      <c r="S10">
        <v>0</v>
      </c>
      <c r="T10">
        <v>0</v>
      </c>
      <c r="Y10" s="5"/>
    </row>
    <row r="11" spans="1:25" x14ac:dyDescent="0.25">
      <c r="A11" s="9">
        <v>4</v>
      </c>
      <c r="B11">
        <f t="shared" si="7"/>
        <v>0.86383759853147601</v>
      </c>
      <c r="C11" s="9">
        <v>68</v>
      </c>
      <c r="D11" s="9">
        <v>63</v>
      </c>
      <c r="E11">
        <f>'Q2 Base'!F18</f>
        <v>1.5207999999999999E-2</v>
      </c>
      <c r="F11">
        <f>'Q2 Base'!G13</f>
        <v>1.0198E-2</v>
      </c>
      <c r="G11">
        <f t="shared" si="3"/>
        <v>0.984792</v>
      </c>
      <c r="H11">
        <f t="shared" si="4"/>
        <v>0.98980199999999996</v>
      </c>
      <c r="I11">
        <f t="shared" si="5"/>
        <v>0.97474909118399999</v>
      </c>
      <c r="J11">
        <f t="shared" si="8"/>
        <v>0.9467669975169849</v>
      </c>
      <c r="K11">
        <f t="shared" si="9"/>
        <v>0.96517357201686538</v>
      </c>
      <c r="L11">
        <f t="shared" si="10"/>
        <v>0.91379448486115111</v>
      </c>
      <c r="M11">
        <v>1</v>
      </c>
      <c r="N11">
        <f>M11*B11</f>
        <v>0.86383759853147601</v>
      </c>
      <c r="P11">
        <v>0</v>
      </c>
      <c r="Q11">
        <v>0</v>
      </c>
      <c r="R11">
        <v>0</v>
      </c>
      <c r="S11">
        <v>0</v>
      </c>
      <c r="T11">
        <v>0</v>
      </c>
      <c r="W11" s="36" t="s">
        <v>200</v>
      </c>
      <c r="X11" s="7">
        <f>X8+X9</f>
        <v>154318.61415878357</v>
      </c>
      <c r="Y11" s="5"/>
    </row>
    <row r="12" spans="1:25" x14ac:dyDescent="0.25">
      <c r="A12" s="9">
        <v>5</v>
      </c>
      <c r="B12">
        <f t="shared" si="7"/>
        <v>0.82270247479188185</v>
      </c>
      <c r="C12" s="9">
        <v>69</v>
      </c>
      <c r="D12" s="9">
        <v>64</v>
      </c>
      <c r="E12">
        <f>'Q2 Base'!F19</f>
        <v>1.6573000000000001E-2</v>
      </c>
      <c r="F12">
        <f>'Q2 Base'!G14</f>
        <v>1.1132E-2</v>
      </c>
      <c r="G12">
        <f t="shared" si="3"/>
        <v>0.98342700000000005</v>
      </c>
      <c r="H12">
        <f t="shared" si="4"/>
        <v>0.98886799999999997</v>
      </c>
      <c r="I12">
        <f t="shared" si="5"/>
        <v>0.97247949063600003</v>
      </c>
      <c r="J12">
        <f t="shared" si="8"/>
        <v>0.93107622806713597</v>
      </c>
      <c r="K12">
        <f t="shared" si="9"/>
        <v>0.95442925981317361</v>
      </c>
      <c r="L12">
        <f t="shared" si="10"/>
        <v>0.88864639518375832</v>
      </c>
      <c r="M12">
        <v>1</v>
      </c>
      <c r="N12">
        <f t="shared" si="6"/>
        <v>0.82270247479188185</v>
      </c>
      <c r="P12">
        <v>0</v>
      </c>
      <c r="Q12">
        <v>0</v>
      </c>
      <c r="R12">
        <v>0</v>
      </c>
      <c r="S12">
        <v>0</v>
      </c>
      <c r="T12">
        <v>0</v>
      </c>
      <c r="Y12" s="5"/>
    </row>
    <row r="13" spans="1:25" x14ac:dyDescent="0.25">
      <c r="A13" s="9">
        <v>6</v>
      </c>
      <c r="B13">
        <f t="shared" si="7"/>
        <v>0.78352616646845885</v>
      </c>
      <c r="C13" s="9">
        <v>70</v>
      </c>
      <c r="D13" s="9">
        <v>65</v>
      </c>
      <c r="E13">
        <f>'Q2 Base'!F20</f>
        <v>1.8266000000000001E-2</v>
      </c>
      <c r="F13">
        <f>'Q2 Base'!G15</f>
        <v>1.1955E-2</v>
      </c>
      <c r="G13">
        <f t="shared" ref="G13:H48" si="11">1-E13</f>
        <v>0.981734</v>
      </c>
      <c r="H13">
        <f t="shared" si="11"/>
        <v>0.98804499999999995</v>
      </c>
      <c r="I13">
        <f t="shared" ref="I13:I48" si="12">G13*H13</f>
        <v>0.96999737002999997</v>
      </c>
      <c r="J13">
        <f t="shared" si="8"/>
        <v>0.91406918968526163</v>
      </c>
      <c r="K13">
        <f t="shared" si="9"/>
        <v>0.94301905801210706</v>
      </c>
      <c r="L13">
        <f t="shared" si="10"/>
        <v>0.86198466621488556</v>
      </c>
      <c r="M13">
        <f>L12</f>
        <v>0.88864639518375832</v>
      </c>
      <c r="N13">
        <f t="shared" si="6"/>
        <v>0.69627770336434525</v>
      </c>
      <c r="P13">
        <f>J12*(1-K12)</f>
        <v>4.242983288337776E-2</v>
      </c>
      <c r="Q13">
        <f>(1-J12)*K12</f>
        <v>6.5782864629415405E-2</v>
      </c>
      <c r="R13">
        <f>P13*B13</f>
        <v>3.3244884303010334E-2</v>
      </c>
      <c r="S13">
        <f>Q13*B13</f>
        <v>5.154259574239943E-2</v>
      </c>
      <c r="T13">
        <f t="shared" ref="T13:T48" si="13">(P13+Q13)*B13</f>
        <v>8.4787480045409758E-2</v>
      </c>
      <c r="W13" s="36" t="s">
        <v>234</v>
      </c>
      <c r="X13">
        <f>PRODUCT('Q2 (i)'!I7:I41)</f>
        <v>0.81512312089371053</v>
      </c>
      <c r="Y13" s="48" t="s">
        <v>7</v>
      </c>
    </row>
    <row r="14" spans="1:25" x14ac:dyDescent="0.25">
      <c r="A14" s="9">
        <v>7</v>
      </c>
      <c r="B14">
        <f t="shared" si="7"/>
        <v>0.7462153966366275</v>
      </c>
      <c r="C14" s="9">
        <v>71</v>
      </c>
      <c r="D14" s="9">
        <v>66</v>
      </c>
      <c r="E14">
        <f>'Q2 Base'!F21</f>
        <v>2.0729000000000001E-2</v>
      </c>
      <c r="F14">
        <f>'Q2 Base'!G16</f>
        <v>1.303E-2</v>
      </c>
      <c r="G14">
        <f t="shared" si="11"/>
        <v>0.979271</v>
      </c>
      <c r="H14">
        <f t="shared" si="11"/>
        <v>0.98697000000000001</v>
      </c>
      <c r="I14">
        <f>G14*H14</f>
        <v>0.96651109886999997</v>
      </c>
      <c r="J14">
        <f t="shared" si="8"/>
        <v>0.8951214494522759</v>
      </c>
      <c r="K14">
        <f t="shared" si="9"/>
        <v>0.93073151968620926</v>
      </c>
      <c r="L14">
        <f>L13*I14</f>
        <v>0.83311774695243923</v>
      </c>
      <c r="M14">
        <f>L13</f>
        <v>0.86198466621488556</v>
      </c>
      <c r="N14">
        <f t="shared" si="6"/>
        <v>0.64322622959423181</v>
      </c>
      <c r="P14">
        <f t="shared" ref="P14:P48" si="14">J13*(1-K13)</f>
        <v>5.2084523470376204E-2</v>
      </c>
      <c r="Q14">
        <f t="shared" ref="Q14:Q48" si="15">(1-J13)*K13</f>
        <v>8.1034391797221633E-2</v>
      </c>
      <c r="R14">
        <f t="shared" ref="R14:R48" si="16">P14*B14</f>
        <v>3.8866273340076515E-2</v>
      </c>
      <c r="S14">
        <f t="shared" ref="S14:S48" si="17">Q14*B14</f>
        <v>6.0469110816171616E-2</v>
      </c>
      <c r="T14">
        <f t="shared" si="13"/>
        <v>9.9335384156248124E-2</v>
      </c>
      <c r="W14" s="36" t="s">
        <v>235</v>
      </c>
      <c r="X14">
        <f>'Q2 (i)'!B41</f>
        <v>0.2534154707272902</v>
      </c>
      <c r="Y14" s="48" t="s">
        <v>7</v>
      </c>
    </row>
    <row r="15" spans="1:25" x14ac:dyDescent="0.25">
      <c r="A15" s="9">
        <v>8</v>
      </c>
      <c r="B15">
        <f t="shared" si="7"/>
        <v>0.71068133013012136</v>
      </c>
      <c r="C15" s="9">
        <v>72</v>
      </c>
      <c r="D15" s="9">
        <v>67</v>
      </c>
      <c r="E15">
        <f>'Q2 Base'!F22</f>
        <v>2.2803E-2</v>
      </c>
      <c r="F15">
        <f>'Q2 Base'!G17</f>
        <v>1.4064E-2</v>
      </c>
      <c r="G15">
        <f t="shared" si="11"/>
        <v>0.97719699999999998</v>
      </c>
      <c r="H15">
        <f t="shared" si="11"/>
        <v>0.98593600000000003</v>
      </c>
      <c r="I15">
        <f t="shared" si="12"/>
        <v>0.96345370139200004</v>
      </c>
      <c r="J15">
        <f t="shared" si="8"/>
        <v>0.87470999504041569</v>
      </c>
      <c r="K15">
        <f t="shared" si="9"/>
        <v>0.9176417115933424</v>
      </c>
      <c r="L15">
        <f t="shared" si="10"/>
        <v>0.80267037699669119</v>
      </c>
      <c r="M15">
        <f t="shared" ref="M15:M48" si="18">L14</f>
        <v>0.83311774695243923</v>
      </c>
      <c r="N15">
        <f t="shared" si="6"/>
        <v>0.59208122855916934</v>
      </c>
      <c r="P15">
        <f t="shared" si="14"/>
        <v>6.2003702499836805E-2</v>
      </c>
      <c r="Q15">
        <f t="shared" si="15"/>
        <v>9.7613772733770171E-2</v>
      </c>
      <c r="R15">
        <f t="shared" si="16"/>
        <v>4.406487376557635E-2</v>
      </c>
      <c r="S15">
        <f t="shared" si="17"/>
        <v>6.9372285845455156E-2</v>
      </c>
      <c r="T15">
        <f t="shared" si="13"/>
        <v>0.11343715961103151</v>
      </c>
      <c r="Y15" s="5"/>
    </row>
    <row r="16" spans="1:25" x14ac:dyDescent="0.25">
      <c r="A16" s="9">
        <v>9</v>
      </c>
      <c r="B16">
        <f t="shared" si="7"/>
        <v>0.676839362028687</v>
      </c>
      <c r="C16" s="9">
        <v>73</v>
      </c>
      <c r="D16" s="9">
        <v>68</v>
      </c>
      <c r="E16">
        <f>'Q2 Base'!F23</f>
        <v>2.5225999999999998E-2</v>
      </c>
      <c r="F16">
        <f>'Q2 Base'!G18</f>
        <v>1.5184E-2</v>
      </c>
      <c r="G16">
        <f t="shared" si="11"/>
        <v>0.97477400000000003</v>
      </c>
      <c r="H16">
        <f t="shared" si="11"/>
        <v>0.98481600000000002</v>
      </c>
      <c r="I16">
        <f t="shared" si="12"/>
        <v>0.95997303158400005</v>
      </c>
      <c r="J16">
        <f t="shared" si="8"/>
        <v>0.85264456070552619</v>
      </c>
      <c r="K16">
        <f t="shared" si="9"/>
        <v>0.9037082398445091</v>
      </c>
      <c r="L16">
        <f t="shared" si="10"/>
        <v>0.77054191516818582</v>
      </c>
      <c r="M16">
        <f t="shared" si="18"/>
        <v>0.80267037699669119</v>
      </c>
      <c r="N16">
        <f t="shared" si="6"/>
        <v>0.54327890588576611</v>
      </c>
      <c r="P16">
        <f t="shared" si="14"/>
        <v>7.2039618043724593E-2</v>
      </c>
      <c r="Q16">
        <f t="shared" si="15"/>
        <v>0.11497133459665131</v>
      </c>
      <c r="R16">
        <f t="shared" si="16"/>
        <v>4.8759249117504844E-2</v>
      </c>
      <c r="S16">
        <f t="shared" si="17"/>
        <v>7.7817124759984174E-2</v>
      </c>
      <c r="T16">
        <f t="shared" si="13"/>
        <v>0.12657637387748902</v>
      </c>
      <c r="W16" s="36" t="s">
        <v>177</v>
      </c>
      <c r="X16" s="7">
        <f>X11*X13*X14</f>
        <v>31876.795117800066</v>
      </c>
      <c r="Y16" s="48" t="s">
        <v>7</v>
      </c>
    </row>
    <row r="17" spans="1:24" x14ac:dyDescent="0.25">
      <c r="A17" s="9">
        <v>10</v>
      </c>
      <c r="B17">
        <f t="shared" si="7"/>
        <v>0.64460891621779715</v>
      </c>
      <c r="C17" s="9">
        <v>74</v>
      </c>
      <c r="D17" s="9">
        <v>69</v>
      </c>
      <c r="E17">
        <f>'Q2 Base'!F24</f>
        <v>2.8684000000000001E-2</v>
      </c>
      <c r="F17">
        <f>'Q2 Base'!G19</f>
        <v>1.6560999999999999E-2</v>
      </c>
      <c r="G17">
        <f t="shared" si="11"/>
        <v>0.97131599999999996</v>
      </c>
      <c r="H17">
        <f t="shared" si="11"/>
        <v>0.98343899999999995</v>
      </c>
      <c r="I17">
        <f t="shared" si="12"/>
        <v>0.95523003572399989</v>
      </c>
      <c r="J17">
        <f t="shared" si="8"/>
        <v>0.82818730412624886</v>
      </c>
      <c r="K17">
        <f t="shared" si="9"/>
        <v>0.88874192768444416</v>
      </c>
      <c r="L17">
        <f t="shared" si="10"/>
        <v>0.73604478115294547</v>
      </c>
      <c r="M17">
        <f t="shared" si="18"/>
        <v>0.77054191516818582</v>
      </c>
      <c r="N17">
        <f t="shared" si="6"/>
        <v>0.49669818883695005</v>
      </c>
      <c r="P17">
        <f t="shared" si="14"/>
        <v>8.2102645537340424E-2</v>
      </c>
      <c r="Q17">
        <f t="shared" si="15"/>
        <v>0.13316632467632333</v>
      </c>
      <c r="R17">
        <f t="shared" si="16"/>
        <v>5.2924097358438969E-2</v>
      </c>
      <c r="S17">
        <f t="shared" si="17"/>
        <v>8.5840200226312086E-2</v>
      </c>
      <c r="T17">
        <f t="shared" si="13"/>
        <v>0.13876429758475106</v>
      </c>
    </row>
    <row r="18" spans="1:24" x14ac:dyDescent="0.25">
      <c r="A18" s="9">
        <v>11</v>
      </c>
      <c r="B18">
        <f t="shared" si="7"/>
        <v>0.6139132535407591</v>
      </c>
      <c r="C18" s="9">
        <v>75</v>
      </c>
      <c r="D18" s="9">
        <v>70</v>
      </c>
      <c r="E18">
        <f>'Q2 Base'!F25</f>
        <v>3.2051000000000003E-2</v>
      </c>
      <c r="F18">
        <f>'Q2 Base'!G20</f>
        <v>1.8253999999999999E-2</v>
      </c>
      <c r="G18">
        <f t="shared" si="11"/>
        <v>0.96794899999999995</v>
      </c>
      <c r="H18">
        <f t="shared" si="11"/>
        <v>0.98174600000000001</v>
      </c>
      <c r="I18">
        <f t="shared" si="12"/>
        <v>0.95028005895399992</v>
      </c>
      <c r="J18">
        <f t="shared" si="8"/>
        <v>0.80164307284169845</v>
      </c>
      <c r="K18">
        <f t="shared" si="9"/>
        <v>0.87251883253649232</v>
      </c>
      <c r="L18">
        <f t="shared" si="10"/>
        <v>0.69944867802680499</v>
      </c>
      <c r="M18">
        <f t="shared" si="18"/>
        <v>0.73604478115294547</v>
      </c>
      <c r="N18">
        <f t="shared" si="6"/>
        <v>0.45186764634930077</v>
      </c>
      <c r="P18">
        <f t="shared" si="14"/>
        <v>9.2142522973303442E-2</v>
      </c>
      <c r="Q18">
        <f t="shared" si="15"/>
        <v>0.15269714653149874</v>
      </c>
      <c r="R18">
        <f t="shared" si="16"/>
        <v>5.6567516067994858E-2</v>
      </c>
      <c r="S18">
        <f t="shared" si="17"/>
        <v>9.3742802033542433E-2</v>
      </c>
      <c r="T18">
        <f t="shared" si="13"/>
        <v>0.15031031810153728</v>
      </c>
    </row>
    <row r="19" spans="1:24" x14ac:dyDescent="0.25">
      <c r="A19" s="9">
        <v>12</v>
      </c>
      <c r="B19">
        <f t="shared" si="7"/>
        <v>0.58467928908643729</v>
      </c>
      <c r="C19" s="9">
        <v>76</v>
      </c>
      <c r="D19" s="9">
        <v>71</v>
      </c>
      <c r="E19">
        <f>'Q2 Base'!F26</f>
        <v>3.5624000000000003E-2</v>
      </c>
      <c r="F19">
        <f>'Q2 Base'!G21</f>
        <v>2.0715999999999998E-2</v>
      </c>
      <c r="G19">
        <f t="shared" si="11"/>
        <v>0.96437600000000001</v>
      </c>
      <c r="H19">
        <f t="shared" si="11"/>
        <v>0.97928400000000004</v>
      </c>
      <c r="I19">
        <f t="shared" si="12"/>
        <v>0.944397986784</v>
      </c>
      <c r="J19">
        <f t="shared" si="8"/>
        <v>0.77308534001478579</v>
      </c>
      <c r="K19">
        <f t="shared" si="9"/>
        <v>0.85444373240166638</v>
      </c>
      <c r="L19">
        <f t="shared" si="10"/>
        <v>0.66055792338724484</v>
      </c>
      <c r="M19">
        <f t="shared" si="18"/>
        <v>0.69944867802680499</v>
      </c>
      <c r="N19">
        <f t="shared" si="6"/>
        <v>0.40895315582116071</v>
      </c>
      <c r="P19">
        <f t="shared" si="14"/>
        <v>0.10219439481489345</v>
      </c>
      <c r="Q19">
        <f t="shared" si="15"/>
        <v>0.17307015450968732</v>
      </c>
      <c r="R19">
        <f t="shared" si="16"/>
        <v>5.97509461089906E-2</v>
      </c>
      <c r="S19">
        <f t="shared" si="17"/>
        <v>0.10119053490080385</v>
      </c>
      <c r="T19">
        <f t="shared" si="13"/>
        <v>0.16094148100979444</v>
      </c>
    </row>
    <row r="20" spans="1:24" x14ac:dyDescent="0.25">
      <c r="A20" s="9">
        <v>13</v>
      </c>
      <c r="B20">
        <f t="shared" si="7"/>
        <v>0.55683741817755927</v>
      </c>
      <c r="C20" s="9">
        <v>77</v>
      </c>
      <c r="D20" s="9">
        <v>72</v>
      </c>
      <c r="E20">
        <f>'Q2 Base'!F27</f>
        <v>3.8908999999999999E-2</v>
      </c>
      <c r="F20">
        <f>'Q2 Base'!G22</f>
        <v>2.2790999999999999E-2</v>
      </c>
      <c r="G20">
        <f t="shared" si="11"/>
        <v>0.96109100000000003</v>
      </c>
      <c r="H20">
        <f t="shared" si="11"/>
        <v>0.97720899999999999</v>
      </c>
      <c r="I20">
        <f t="shared" si="12"/>
        <v>0.93918677501900005</v>
      </c>
      <c r="J20">
        <f t="shared" si="8"/>
        <v>0.74300536252015048</v>
      </c>
      <c r="K20">
        <f t="shared" si="9"/>
        <v>0.83497010529649995</v>
      </c>
      <c r="L20">
        <f t="shared" si="10"/>
        <v>0.62038726577931425</v>
      </c>
      <c r="M20">
        <f t="shared" si="18"/>
        <v>0.66055792338724484</v>
      </c>
      <c r="N20">
        <f t="shared" si="6"/>
        <v>0.36782336861568343</v>
      </c>
      <c r="P20">
        <f t="shared" si="14"/>
        <v>0.1125274166275409</v>
      </c>
      <c r="Q20">
        <f t="shared" si="15"/>
        <v>0.19388580901442148</v>
      </c>
      <c r="R20">
        <f t="shared" si="16"/>
        <v>6.2659476149070428E-2</v>
      </c>
      <c r="S20">
        <f t="shared" si="17"/>
        <v>0.10796287331285781</v>
      </c>
      <c r="T20">
        <f t="shared" si="13"/>
        <v>0.17062234946192822</v>
      </c>
    </row>
    <row r="21" spans="1:24" x14ac:dyDescent="0.25">
      <c r="A21" s="9">
        <v>14</v>
      </c>
      <c r="B21">
        <f t="shared" si="7"/>
        <v>0.53032135064529451</v>
      </c>
      <c r="C21" s="9">
        <v>78</v>
      </c>
      <c r="D21" s="9">
        <v>73</v>
      </c>
      <c r="E21">
        <f>'Q2 Base'!F28</f>
        <v>4.3244999999999999E-2</v>
      </c>
      <c r="F21">
        <f>'Q2 Base'!G23</f>
        <v>2.5212999999999999E-2</v>
      </c>
      <c r="G21">
        <f t="shared" si="11"/>
        <v>0.95675500000000002</v>
      </c>
      <c r="H21">
        <f t="shared" si="11"/>
        <v>0.97478699999999996</v>
      </c>
      <c r="I21">
        <f t="shared" si="12"/>
        <v>0.93263233618499997</v>
      </c>
      <c r="J21">
        <f t="shared" si="8"/>
        <v>0.71087409561796655</v>
      </c>
      <c r="K21">
        <f t="shared" si="9"/>
        <v>0.81391800403165926</v>
      </c>
      <c r="L21">
        <f t="shared" si="10"/>
        <v>0.57859322502318633</v>
      </c>
      <c r="M21">
        <f t="shared" si="18"/>
        <v>0.62038726577931425</v>
      </c>
      <c r="N21">
        <f t="shared" si="6"/>
        <v>0.32900461271122722</v>
      </c>
      <c r="P21">
        <f t="shared" si="14"/>
        <v>0.12261809674083632</v>
      </c>
      <c r="Q21">
        <f t="shared" si="15"/>
        <v>0.21458283951718579</v>
      </c>
      <c r="R21">
        <f t="shared" si="16"/>
        <v>6.5026994677155697E-2</v>
      </c>
      <c r="S21">
        <f t="shared" si="17"/>
        <v>0.11379786127805644</v>
      </c>
      <c r="T21">
        <f t="shared" si="13"/>
        <v>0.17882485595521214</v>
      </c>
    </row>
    <row r="22" spans="1:24" x14ac:dyDescent="0.25">
      <c r="A22" s="9">
        <v>15</v>
      </c>
      <c r="B22">
        <f t="shared" si="7"/>
        <v>0.50506795299551854</v>
      </c>
      <c r="C22" s="9">
        <v>79</v>
      </c>
      <c r="D22" s="9">
        <v>74</v>
      </c>
      <c r="E22">
        <f>'Q2 Base'!F29</f>
        <v>4.7893999999999999E-2</v>
      </c>
      <c r="F22">
        <f>'Q2 Base'!G24</f>
        <v>2.8656999999999998E-2</v>
      </c>
      <c r="G22">
        <f t="shared" si="11"/>
        <v>0.95210600000000001</v>
      </c>
      <c r="H22">
        <f t="shared" si="11"/>
        <v>0.97134299999999996</v>
      </c>
      <c r="I22">
        <f t="shared" si="12"/>
        <v>0.92482149835799998</v>
      </c>
      <c r="J22">
        <f t="shared" si="8"/>
        <v>0.67682749168243972</v>
      </c>
      <c r="K22">
        <f t="shared" si="9"/>
        <v>0.79059355579012391</v>
      </c>
      <c r="L22">
        <f t="shared" si="10"/>
        <v>0.53509545330573061</v>
      </c>
      <c r="M22">
        <f t="shared" si="18"/>
        <v>0.57859322502318633</v>
      </c>
      <c r="N22">
        <f t="shared" si="6"/>
        <v>0.29222889577953615</v>
      </c>
      <c r="P22">
        <f t="shared" si="14"/>
        <v>0.13228087059478033</v>
      </c>
      <c r="Q22">
        <f t="shared" si="15"/>
        <v>0.23532477900847304</v>
      </c>
      <c r="R22">
        <f t="shared" si="16"/>
        <v>6.6810828531770783E-2</v>
      </c>
      <c r="S22">
        <f t="shared" si="17"/>
        <v>0.11885500442293224</v>
      </c>
      <c r="T22">
        <f t="shared" si="13"/>
        <v>0.18566583295470304</v>
      </c>
    </row>
    <row r="23" spans="1:24" x14ac:dyDescent="0.25">
      <c r="A23" s="9">
        <v>16</v>
      </c>
      <c r="B23">
        <f t="shared" si="7"/>
        <v>0.48101709809097004</v>
      </c>
      <c r="C23" s="9">
        <v>80</v>
      </c>
      <c r="D23" s="9">
        <v>75</v>
      </c>
      <c r="E23">
        <f>'Q2 Base'!F30</f>
        <v>5.4127000000000002E-2</v>
      </c>
      <c r="F23">
        <f>'Q2 Base'!G25</f>
        <v>3.2023999999999997E-2</v>
      </c>
      <c r="G23">
        <f t="shared" si="11"/>
        <v>0.94587299999999996</v>
      </c>
      <c r="H23">
        <f t="shared" si="11"/>
        <v>0.96797599999999995</v>
      </c>
      <c r="I23">
        <f t="shared" si="12"/>
        <v>0.91558236304799989</v>
      </c>
      <c r="J23">
        <f t="shared" si="8"/>
        <v>0.64019285004014426</v>
      </c>
      <c r="K23">
        <f t="shared" si="9"/>
        <v>0.765275587759501</v>
      </c>
      <c r="L23">
        <f t="shared" si="10"/>
        <v>0.4899239595939015</v>
      </c>
      <c r="M23">
        <f t="shared" si="18"/>
        <v>0.53509545330573061</v>
      </c>
      <c r="N23">
        <f t="shared" si="6"/>
        <v>0.25739006215079469</v>
      </c>
      <c r="P23">
        <f t="shared" si="14"/>
        <v>0.1417320383767092</v>
      </c>
      <c r="Q23">
        <f t="shared" si="15"/>
        <v>0.25549810248439336</v>
      </c>
      <c r="R23">
        <f t="shared" si="16"/>
        <v>6.8175533806482655E-2</v>
      </c>
      <c r="S23">
        <f t="shared" si="17"/>
        <v>0.12289895582479216</v>
      </c>
      <c r="T23">
        <f t="shared" si="13"/>
        <v>0.1910744896312748</v>
      </c>
    </row>
    <row r="24" spans="1:24" x14ac:dyDescent="0.25">
      <c r="A24" s="9">
        <v>17</v>
      </c>
      <c r="B24">
        <f t="shared" si="7"/>
        <v>0.45811152199140004</v>
      </c>
      <c r="C24" s="9">
        <v>81</v>
      </c>
      <c r="D24" s="9">
        <v>76</v>
      </c>
      <c r="E24">
        <f>'Q2 Base'!F31</f>
        <v>6.0229999999999999E-2</v>
      </c>
      <c r="F24">
        <f>'Q2 Base'!G26</f>
        <v>3.5595000000000002E-2</v>
      </c>
      <c r="G24">
        <f t="shared" si="11"/>
        <v>0.93976999999999999</v>
      </c>
      <c r="H24">
        <f t="shared" si="11"/>
        <v>0.96440499999999996</v>
      </c>
      <c r="I24">
        <f t="shared" si="12"/>
        <v>0.90631888684999995</v>
      </c>
      <c r="J24">
        <f t="shared" si="8"/>
        <v>0.60163403468222632</v>
      </c>
      <c r="K24">
        <f t="shared" si="9"/>
        <v>0.7380356032132015</v>
      </c>
      <c r="L24">
        <f t="shared" si="10"/>
        <v>0.44402733770028918</v>
      </c>
      <c r="M24">
        <f t="shared" si="18"/>
        <v>0.4899239595939015</v>
      </c>
      <c r="N24">
        <f t="shared" si="6"/>
        <v>0.22443981078961539</v>
      </c>
      <c r="P24">
        <f t="shared" si="14"/>
        <v>0.15026889044624278</v>
      </c>
      <c r="Q24">
        <f t="shared" si="15"/>
        <v>0.27535162816559949</v>
      </c>
      <c r="R24">
        <f t="shared" si="16"/>
        <v>6.8839910110287228E-2</v>
      </c>
      <c r="S24">
        <f t="shared" si="17"/>
        <v>0.12614175346175283</v>
      </c>
      <c r="T24">
        <f t="shared" si="13"/>
        <v>0.19498166357204005</v>
      </c>
    </row>
    <row r="25" spans="1:24" x14ac:dyDescent="0.25">
      <c r="A25" s="9">
        <v>18</v>
      </c>
      <c r="B25">
        <f t="shared" si="7"/>
        <v>0.43629668761085716</v>
      </c>
      <c r="C25" s="9">
        <v>82</v>
      </c>
      <c r="D25" s="9">
        <v>77</v>
      </c>
      <c r="E25">
        <f>'Q2 Base'!F32</f>
        <v>6.8265000000000006E-2</v>
      </c>
      <c r="F25">
        <f>'Q2 Base'!G27</f>
        <v>3.8878999999999997E-2</v>
      </c>
      <c r="G25">
        <f t="shared" si="11"/>
        <v>0.93173499999999998</v>
      </c>
      <c r="H25">
        <f t="shared" si="11"/>
        <v>0.961121</v>
      </c>
      <c r="I25">
        <f t="shared" si="12"/>
        <v>0.89551007493500001</v>
      </c>
      <c r="J25">
        <f t="shared" si="8"/>
        <v>0.56056348730464411</v>
      </c>
      <c r="K25">
        <f t="shared" si="9"/>
        <v>0.70934151699587544</v>
      </c>
      <c r="L25">
        <f t="shared" si="10"/>
        <v>0.3976309544571745</v>
      </c>
      <c r="M25">
        <f t="shared" si="18"/>
        <v>0.44402733770028918</v>
      </c>
      <c r="N25">
        <f t="shared" si="6"/>
        <v>0.19372765664730365</v>
      </c>
      <c r="P25">
        <f t="shared" si="14"/>
        <v>0.15760669698193722</v>
      </c>
      <c r="Q25">
        <f t="shared" si="15"/>
        <v>0.29400826551291243</v>
      </c>
      <c r="R25">
        <f t="shared" si="16"/>
        <v>6.8763279838507288E-2</v>
      </c>
      <c r="S25">
        <f t="shared" si="17"/>
        <v>0.1282748323734971</v>
      </c>
      <c r="T25">
        <f t="shared" si="13"/>
        <v>0.1970381122120044</v>
      </c>
    </row>
    <row r="26" spans="1:24" x14ac:dyDescent="0.25">
      <c r="A26" s="9">
        <v>19</v>
      </c>
      <c r="B26">
        <f t="shared" si="7"/>
        <v>0.41552065486748302</v>
      </c>
      <c r="C26" s="9">
        <v>83</v>
      </c>
      <c r="D26" s="9">
        <v>78</v>
      </c>
      <c r="E26">
        <f>'Q2 Base'!F33</f>
        <v>7.7331999999999998E-2</v>
      </c>
      <c r="F26">
        <f>'Q2 Base'!G28</f>
        <v>4.3215000000000003E-2</v>
      </c>
      <c r="G26">
        <f t="shared" si="11"/>
        <v>0.92266800000000004</v>
      </c>
      <c r="H26">
        <f t="shared" si="11"/>
        <v>0.956785</v>
      </c>
      <c r="I26">
        <f t="shared" si="12"/>
        <v>0.88279490238000002</v>
      </c>
      <c r="J26">
        <f t="shared" si="8"/>
        <v>0.51721399170440141</v>
      </c>
      <c r="K26">
        <f t="shared" si="9"/>
        <v>0.6786873233388987</v>
      </c>
      <c r="L26">
        <f t="shared" si="10"/>
        <v>0.35102657962328759</v>
      </c>
      <c r="M26">
        <f t="shared" si="18"/>
        <v>0.3976309544571745</v>
      </c>
      <c r="N26">
        <f t="shared" si="6"/>
        <v>0.16522387459162746</v>
      </c>
      <c r="P26">
        <f t="shared" si="14"/>
        <v>0.1629325328474697</v>
      </c>
      <c r="Q26">
        <f t="shared" si="15"/>
        <v>0.311710562538701</v>
      </c>
      <c r="R26">
        <f t="shared" si="16"/>
        <v>6.7701832747998292E-2</v>
      </c>
      <c r="S26">
        <f t="shared" si="17"/>
        <v>0.12952217707519256</v>
      </c>
      <c r="T26">
        <f t="shared" si="13"/>
        <v>0.19722400982319085</v>
      </c>
    </row>
    <row r="27" spans="1:24" x14ac:dyDescent="0.25">
      <c r="A27" s="9">
        <v>20</v>
      </c>
      <c r="B27">
        <f t="shared" si="7"/>
        <v>0.39573395701665048</v>
      </c>
      <c r="C27" s="9">
        <v>84</v>
      </c>
      <c r="D27" s="9">
        <v>79</v>
      </c>
      <c r="E27">
        <f>'Q2 Base'!F34</f>
        <v>8.6568999999999993E-2</v>
      </c>
      <c r="F27">
        <f>'Q2 Base'!G29</f>
        <v>4.7862000000000002E-2</v>
      </c>
      <c r="G27">
        <f t="shared" si="11"/>
        <v>0.91343099999999999</v>
      </c>
      <c r="H27">
        <f t="shared" si="11"/>
        <v>0.95213800000000004</v>
      </c>
      <c r="I27">
        <f t="shared" si="12"/>
        <v>0.86971236547800002</v>
      </c>
      <c r="J27">
        <f t="shared" si="8"/>
        <v>0.47243929365654308</v>
      </c>
      <c r="K27">
        <f t="shared" si="9"/>
        <v>0.64620399066925238</v>
      </c>
      <c r="L27">
        <f t="shared" si="10"/>
        <v>0.30529215690982098</v>
      </c>
      <c r="M27">
        <f t="shared" si="18"/>
        <v>0.35102657962328759</v>
      </c>
      <c r="N27">
        <f t="shared" si="6"/>
        <v>0.13891313737234393</v>
      </c>
      <c r="P27">
        <f t="shared" si="14"/>
        <v>0.16618741208111387</v>
      </c>
      <c r="Q27">
        <f t="shared" si="15"/>
        <v>0.32766074371561116</v>
      </c>
      <c r="R27">
        <f t="shared" si="16"/>
        <v>6.5766002189215897E-2</v>
      </c>
      <c r="S27">
        <f t="shared" si="17"/>
        <v>0.1296664826695974</v>
      </c>
      <c r="T27">
        <f t="shared" si="13"/>
        <v>0.19543248485881329</v>
      </c>
    </row>
    <row r="28" spans="1:24" x14ac:dyDescent="0.25">
      <c r="A28" s="9">
        <v>21</v>
      </c>
      <c r="B28">
        <f t="shared" si="7"/>
        <v>0.37688948287300045</v>
      </c>
      <c r="C28" s="9">
        <v>85</v>
      </c>
      <c r="D28" s="9">
        <v>80</v>
      </c>
      <c r="E28">
        <f>'Q2 Base'!F35</f>
        <v>9.6814999999999998E-2</v>
      </c>
      <c r="F28">
        <f>'Q2 Base'!G30</f>
        <v>5.4077E-2</v>
      </c>
      <c r="G28">
        <f t="shared" si="11"/>
        <v>0.90318500000000002</v>
      </c>
      <c r="H28">
        <f t="shared" si="11"/>
        <v>0.94592299999999996</v>
      </c>
      <c r="I28">
        <f t="shared" si="12"/>
        <v>0.854343464755</v>
      </c>
      <c r="J28">
        <f t="shared" si="8"/>
        <v>0.42670008344118487</v>
      </c>
      <c r="K28">
        <f t="shared" si="9"/>
        <v>0.61125921746583123</v>
      </c>
      <c r="L28">
        <f t="shared" si="10"/>
        <v>0.26082435909686358</v>
      </c>
      <c r="M28">
        <f t="shared" si="18"/>
        <v>0.30529215690982098</v>
      </c>
      <c r="N28">
        <f t="shared" si="6"/>
        <v>0.11506140314292534</v>
      </c>
      <c r="P28">
        <f t="shared" si="14"/>
        <v>0.16714713674672213</v>
      </c>
      <c r="Q28">
        <f t="shared" si="15"/>
        <v>0.3409118337594314</v>
      </c>
      <c r="R28">
        <f t="shared" si="16"/>
        <v>6.2995997932174794E-2</v>
      </c>
      <c r="S28">
        <f t="shared" si="17"/>
        <v>0.12848608473087839</v>
      </c>
      <c r="T28">
        <f t="shared" si="13"/>
        <v>0.19148208266305319</v>
      </c>
      <c r="W28" s="36"/>
    </row>
    <row r="29" spans="1:24" x14ac:dyDescent="0.25">
      <c r="A29" s="9">
        <v>22</v>
      </c>
      <c r="B29">
        <f t="shared" si="7"/>
        <v>0.35894236464095275</v>
      </c>
      <c r="C29" s="9">
        <v>86</v>
      </c>
      <c r="D29" s="9">
        <v>81</v>
      </c>
      <c r="E29">
        <f>'Q2 Base'!F36</f>
        <v>0.108183</v>
      </c>
      <c r="F29">
        <f>'Q2 Base'!G31</f>
        <v>6.0177000000000001E-2</v>
      </c>
      <c r="G29">
        <f t="shared" si="11"/>
        <v>0.89181699999999997</v>
      </c>
      <c r="H29">
        <f t="shared" si="11"/>
        <v>0.93982299999999996</v>
      </c>
      <c r="I29">
        <f t="shared" si="12"/>
        <v>0.83815012839099989</v>
      </c>
      <c r="J29">
        <f t="shared" si="8"/>
        <v>0.38053838831426717</v>
      </c>
      <c r="K29">
        <f t="shared" si="9"/>
        <v>0.57447547153638989</v>
      </c>
      <c r="L29">
        <f t="shared" si="10"/>
        <v>0.21860997006453647</v>
      </c>
      <c r="M29">
        <f t="shared" si="18"/>
        <v>0.26082435909686358</v>
      </c>
      <c r="N29">
        <f t="shared" si="6"/>
        <v>9.3620912210189214E-2</v>
      </c>
      <c r="P29">
        <f t="shared" si="14"/>
        <v>0.16587572434432132</v>
      </c>
      <c r="Q29">
        <f t="shared" si="15"/>
        <v>0.35043485836896765</v>
      </c>
      <c r="R29">
        <f t="shared" si="16"/>
        <v>5.9539824732681546E-2</v>
      </c>
      <c r="S29">
        <f t="shared" si="17"/>
        <v>0.12578591671557462</v>
      </c>
      <c r="T29">
        <f t="shared" si="13"/>
        <v>0.18532574144825617</v>
      </c>
      <c r="W29" s="36"/>
    </row>
    <row r="30" spans="1:24" x14ac:dyDescent="0.25">
      <c r="A30" s="9">
        <v>23</v>
      </c>
      <c r="B30">
        <f t="shared" si="7"/>
        <v>0.34184987108662168</v>
      </c>
      <c r="C30" s="9">
        <v>87</v>
      </c>
      <c r="D30" s="9">
        <v>82</v>
      </c>
      <c r="E30">
        <f>'Q2 Base'!F37</f>
        <v>0.12103700000000001</v>
      </c>
      <c r="F30">
        <f>'Q2 Base'!G32</f>
        <v>6.8209000000000006E-2</v>
      </c>
      <c r="G30">
        <f t="shared" si="11"/>
        <v>0.87896299999999994</v>
      </c>
      <c r="H30">
        <f t="shared" si="11"/>
        <v>0.93179100000000004</v>
      </c>
      <c r="I30">
        <f t="shared" si="12"/>
        <v>0.819009812733</v>
      </c>
      <c r="J30">
        <f t="shared" si="8"/>
        <v>0.3344791634078732</v>
      </c>
      <c r="K30">
        <f t="shared" si="9"/>
        <v>0.53529107409836429</v>
      </c>
      <c r="L30">
        <f t="shared" si="10"/>
        <v>0.17904371064412275</v>
      </c>
      <c r="M30">
        <f t="shared" si="18"/>
        <v>0.21860997006453647</v>
      </c>
      <c r="N30">
        <f t="shared" si="6"/>
        <v>7.4731790084812025E-2</v>
      </c>
      <c r="P30">
        <f t="shared" si="14"/>
        <v>0.1619284182497307</v>
      </c>
      <c r="Q30">
        <f t="shared" si="15"/>
        <v>0.35586550147185336</v>
      </c>
      <c r="R30">
        <f t="shared" si="16"/>
        <v>5.5355208903930996E-2</v>
      </c>
      <c r="S30">
        <f t="shared" si="17"/>
        <v>0.12165257580232905</v>
      </c>
      <c r="T30">
        <f t="shared" si="13"/>
        <v>0.17700778470626005</v>
      </c>
    </row>
    <row r="31" spans="1:24" x14ac:dyDescent="0.25">
      <c r="A31" s="9">
        <v>24</v>
      </c>
      <c r="B31">
        <f t="shared" si="7"/>
        <v>0.32557130579678251</v>
      </c>
      <c r="C31" s="9">
        <v>88</v>
      </c>
      <c r="D31" s="9">
        <v>83</v>
      </c>
      <c r="E31">
        <f>'Q2 Base'!F38</f>
        <v>0.13539200000000001</v>
      </c>
      <c r="F31">
        <f>'Q2 Base'!G33</f>
        <v>7.7311000000000005E-2</v>
      </c>
      <c r="G31">
        <f t="shared" si="11"/>
        <v>0.86460800000000004</v>
      </c>
      <c r="H31">
        <f t="shared" si="11"/>
        <v>0.92268899999999998</v>
      </c>
      <c r="I31">
        <f t="shared" si="12"/>
        <v>0.79776429091200007</v>
      </c>
      <c r="J31">
        <f t="shared" si="8"/>
        <v>0.28919336051575445</v>
      </c>
      <c r="K31">
        <f t="shared" si="9"/>
        <v>0.49390718586874566</v>
      </c>
      <c r="L31">
        <f t="shared" si="10"/>
        <v>0.1428346788642619</v>
      </c>
      <c r="M31">
        <f t="shared" si="18"/>
        <v>0.17904371064412275</v>
      </c>
      <c r="N31">
        <f t="shared" si="6"/>
        <v>5.829149466910833E-2</v>
      </c>
      <c r="P31">
        <f t="shared" si="14"/>
        <v>0.15543545276375045</v>
      </c>
      <c r="Q31">
        <f t="shared" si="15"/>
        <v>0.35624736345424152</v>
      </c>
      <c r="R31">
        <f t="shared" si="16"/>
        <v>5.0605323323408342E-2</v>
      </c>
      <c r="S31">
        <f t="shared" si="17"/>
        <v>0.11598391930645839</v>
      </c>
      <c r="T31">
        <f t="shared" si="13"/>
        <v>0.16658924262986671</v>
      </c>
      <c r="W31" s="36"/>
      <c r="X31" s="7"/>
    </row>
    <row r="32" spans="1:24" x14ac:dyDescent="0.25">
      <c r="A32" s="9">
        <v>25</v>
      </c>
      <c r="B32">
        <f t="shared" si="7"/>
        <v>0.31006791028265002</v>
      </c>
      <c r="C32" s="9">
        <v>89</v>
      </c>
      <c r="D32" s="9">
        <v>84</v>
      </c>
      <c r="E32">
        <f>'Q2 Base'!F39</f>
        <v>0.149865</v>
      </c>
      <c r="F32">
        <f>'Q2 Base'!G34</f>
        <v>8.6525000000000005E-2</v>
      </c>
      <c r="G32">
        <f t="shared" si="11"/>
        <v>0.85013499999999997</v>
      </c>
      <c r="H32">
        <f t="shared" si="11"/>
        <v>0.91347500000000004</v>
      </c>
      <c r="I32">
        <f t="shared" si="12"/>
        <v>0.77657706912500002</v>
      </c>
      <c r="J32">
        <f t="shared" si="8"/>
        <v>0.2458533975420609</v>
      </c>
      <c r="K32">
        <f t="shared" si="9"/>
        <v>0.45117186661145248</v>
      </c>
      <c r="L32">
        <f t="shared" si="10"/>
        <v>0.1109221362818191</v>
      </c>
      <c r="M32">
        <f t="shared" si="18"/>
        <v>0.1428346788642619</v>
      </c>
      <c r="N32">
        <f t="shared" si="6"/>
        <v>4.4288450391335089E-2</v>
      </c>
      <c r="P32">
        <f t="shared" si="14"/>
        <v>0.14635868165149257</v>
      </c>
      <c r="Q32">
        <f t="shared" si="15"/>
        <v>0.35107250700448378</v>
      </c>
      <c r="R32">
        <f t="shared" si="16"/>
        <v>4.5381130571401931E-2</v>
      </c>
      <c r="S32">
        <f t="shared" si="17"/>
        <v>0.1088563186045713</v>
      </c>
      <c r="T32">
        <f t="shared" si="13"/>
        <v>0.15423744917597323</v>
      </c>
    </row>
    <row r="33" spans="1:20" x14ac:dyDescent="0.25">
      <c r="A33" s="9">
        <v>26</v>
      </c>
      <c r="B33">
        <f t="shared" si="7"/>
        <v>0.29530277169776192</v>
      </c>
      <c r="C33" s="9">
        <v>90</v>
      </c>
      <c r="D33" s="9">
        <v>85</v>
      </c>
      <c r="E33">
        <f>'Q2 Base'!F40</f>
        <v>0.16759099999999999</v>
      </c>
      <c r="F33">
        <f>'Q2 Base'!G35</f>
        <v>9.6767000000000006E-2</v>
      </c>
      <c r="G33">
        <f t="shared" si="11"/>
        <v>0.83240899999999995</v>
      </c>
      <c r="H33">
        <f t="shared" si="11"/>
        <v>0.90323299999999995</v>
      </c>
      <c r="I33">
        <f t="shared" si="12"/>
        <v>0.75185927829699994</v>
      </c>
      <c r="J33">
        <f t="shared" si="8"/>
        <v>0.20465058079458937</v>
      </c>
      <c r="K33">
        <f t="shared" si="9"/>
        <v>0.40751331859506201</v>
      </c>
      <c r="L33">
        <f t="shared" si="10"/>
        <v>8.3397837332009978E-2</v>
      </c>
      <c r="M33">
        <f t="shared" si="18"/>
        <v>0.1109221362818191</v>
      </c>
      <c r="N33">
        <f t="shared" si="6"/>
        <v>3.2755614286658061E-2</v>
      </c>
      <c r="P33">
        <f t="shared" si="14"/>
        <v>0.1349312612602418</v>
      </c>
      <c r="Q33">
        <f t="shared" si="15"/>
        <v>0.34024973032963335</v>
      </c>
      <c r="R33">
        <f t="shared" si="16"/>
        <v>3.9845575438824249E-2</v>
      </c>
      <c r="S33">
        <f t="shared" si="17"/>
        <v>0.10047668843575677</v>
      </c>
      <c r="T33">
        <f t="shared" si="13"/>
        <v>0.14032226387458102</v>
      </c>
    </row>
    <row r="34" spans="1:20" x14ac:dyDescent="0.25">
      <c r="A34" s="9">
        <v>27</v>
      </c>
      <c r="B34">
        <f t="shared" si="7"/>
        <v>0.28124073495024943</v>
      </c>
      <c r="C34" s="9">
        <v>91</v>
      </c>
      <c r="D34" s="9">
        <v>86</v>
      </c>
      <c r="E34">
        <f>'Q2 Base'!F41</f>
        <v>0.184063</v>
      </c>
      <c r="F34">
        <f>'Q2 Base'!G36</f>
        <v>0.108129</v>
      </c>
      <c r="G34">
        <f t="shared" si="11"/>
        <v>0.81593700000000002</v>
      </c>
      <c r="H34">
        <f t="shared" si="11"/>
        <v>0.89187099999999997</v>
      </c>
      <c r="I34">
        <f t="shared" si="12"/>
        <v>0.72771054812699998</v>
      </c>
      <c r="J34">
        <f t="shared" si="8"/>
        <v>0.16698198094179487</v>
      </c>
      <c r="K34">
        <f t="shared" si="9"/>
        <v>0.36344931096869654</v>
      </c>
      <c r="L34">
        <f t="shared" si="10"/>
        <v>6.0689485917483361E-2</v>
      </c>
      <c r="M34">
        <f t="shared" si="18"/>
        <v>8.3397837332009978E-2</v>
      </c>
      <c r="N34">
        <f t="shared" si="6"/>
        <v>2.3454869064515833E-2</v>
      </c>
      <c r="P34">
        <f t="shared" si="14"/>
        <v>0.12125274346257939</v>
      </c>
      <c r="Q34">
        <f t="shared" si="15"/>
        <v>0.32411548126305206</v>
      </c>
      <c r="R34">
        <f t="shared" si="16"/>
        <v>3.410121068614988E-2</v>
      </c>
      <c r="S34">
        <f t="shared" si="17"/>
        <v>9.1154476159174561E-2</v>
      </c>
      <c r="T34">
        <f t="shared" si="13"/>
        <v>0.12525568684532443</v>
      </c>
    </row>
    <row r="35" spans="1:20" x14ac:dyDescent="0.25">
      <c r="A35" s="9">
        <v>28</v>
      </c>
      <c r="B35">
        <f t="shared" si="7"/>
        <v>0.26784831900023753</v>
      </c>
      <c r="C35" s="9">
        <v>92</v>
      </c>
      <c r="D35" s="9">
        <v>87</v>
      </c>
      <c r="E35">
        <f>'Q2 Base'!F42</f>
        <v>0.19984499999999999</v>
      </c>
      <c r="F35">
        <f>'Q2 Base'!G37</f>
        <v>0.120977</v>
      </c>
      <c r="G35">
        <f t="shared" si="11"/>
        <v>0.80015499999999995</v>
      </c>
      <c r="H35">
        <f t="shared" si="11"/>
        <v>0.879023</v>
      </c>
      <c r="I35">
        <f t="shared" si="12"/>
        <v>0.70335464856499996</v>
      </c>
      <c r="J35">
        <f t="shared" si="8"/>
        <v>0.13361146696048187</v>
      </c>
      <c r="K35">
        <f t="shared" si="9"/>
        <v>0.31948030367563651</v>
      </c>
      <c r="L35">
        <f t="shared" si="10"/>
        <v>4.2686232039082027E-2</v>
      </c>
      <c r="M35">
        <f t="shared" si="18"/>
        <v>6.0689485917483361E-2</v>
      </c>
      <c r="N35">
        <f t="shared" si="6"/>
        <v>1.6255576783986508E-2</v>
      </c>
      <c r="P35">
        <f t="shared" si="14"/>
        <v>0.10629249502431151</v>
      </c>
      <c r="Q35">
        <f t="shared" si="15"/>
        <v>0.30275982505121318</v>
      </c>
      <c r="R35">
        <f t="shared" si="16"/>
        <v>2.847026611460295E-2</v>
      </c>
      <c r="S35">
        <f t="shared" si="17"/>
        <v>8.1093710200773453E-2</v>
      </c>
      <c r="T35">
        <f t="shared" si="13"/>
        <v>0.10956397631537641</v>
      </c>
    </row>
    <row r="36" spans="1:20" x14ac:dyDescent="0.25">
      <c r="A36" s="9">
        <v>29</v>
      </c>
      <c r="B36">
        <f t="shared" si="7"/>
        <v>0.25509363714308336</v>
      </c>
      <c r="C36" s="9">
        <v>93</v>
      </c>
      <c r="D36" s="9">
        <v>88</v>
      </c>
      <c r="E36">
        <f>'Q2 Base'!F43</f>
        <v>0.21992200000000001</v>
      </c>
      <c r="F36">
        <f>'Q2 Base'!G38</f>
        <v>0.135324</v>
      </c>
      <c r="G36">
        <f t="shared" si="11"/>
        <v>0.78007800000000005</v>
      </c>
      <c r="H36">
        <f t="shared" si="11"/>
        <v>0.864676</v>
      </c>
      <c r="I36">
        <f t="shared" si="12"/>
        <v>0.674514724728</v>
      </c>
      <c r="J36">
        <f t="shared" si="8"/>
        <v>0.10422736592359878</v>
      </c>
      <c r="K36">
        <f t="shared" si="9"/>
        <v>0.2762469510610347</v>
      </c>
      <c r="L36">
        <f t="shared" si="10"/>
        <v>2.8792492053516947E-2</v>
      </c>
      <c r="M36">
        <f t="shared" si="18"/>
        <v>4.2686232039082027E-2</v>
      </c>
      <c r="N36">
        <f t="shared" si="6"/>
        <v>1.0888986186783051E-2</v>
      </c>
      <c r="P36">
        <f t="shared" si="14"/>
        <v>9.0925234921399853E-2</v>
      </c>
      <c r="Q36">
        <f t="shared" si="15"/>
        <v>0.27679407163655451</v>
      </c>
      <c r="R36">
        <f t="shared" si="16"/>
        <v>2.3194448884189187E-2</v>
      </c>
      <c r="S36">
        <f t="shared" si="17"/>
        <v>7.0608406473411864E-2</v>
      </c>
      <c r="T36">
        <f t="shared" si="13"/>
        <v>9.380285535760105E-2</v>
      </c>
    </row>
    <row r="37" spans="1:20" x14ac:dyDescent="0.25">
      <c r="A37" s="9">
        <v>30</v>
      </c>
      <c r="B37">
        <f t="shared" si="7"/>
        <v>0.2429463210886508</v>
      </c>
      <c r="C37" s="9">
        <v>94</v>
      </c>
      <c r="D37" s="9">
        <v>89</v>
      </c>
      <c r="E37">
        <f>'Q2 Base'!F44</f>
        <v>0.24093600000000001</v>
      </c>
      <c r="F37">
        <f>'Q2 Base'!G39</f>
        <v>0.149787</v>
      </c>
      <c r="G37">
        <f t="shared" si="11"/>
        <v>0.75906399999999996</v>
      </c>
      <c r="H37">
        <f t="shared" si="11"/>
        <v>0.850213</v>
      </c>
      <c r="I37">
        <f t="shared" si="12"/>
        <v>0.64536608063199996</v>
      </c>
      <c r="J37">
        <f t="shared" si="8"/>
        <v>7.9115241287430582E-2</v>
      </c>
      <c r="K37">
        <f t="shared" si="9"/>
        <v>0.2348687490024555</v>
      </c>
      <c r="L37">
        <f t="shared" si="10"/>
        <v>1.8581697748206238E-2</v>
      </c>
      <c r="M37">
        <f t="shared" si="18"/>
        <v>2.8792492053516947E-2</v>
      </c>
      <c r="N37">
        <f t="shared" si="6"/>
        <v>6.9950300193761554E-3</v>
      </c>
      <c r="P37">
        <f t="shared" si="14"/>
        <v>7.5434873870081839E-2</v>
      </c>
      <c r="Q37">
        <f t="shared" si="15"/>
        <v>0.24745445900751772</v>
      </c>
      <c r="R37">
        <f t="shared" si="16"/>
        <v>1.8326625088522779E-2</v>
      </c>
      <c r="S37">
        <f t="shared" si="17"/>
        <v>6.011815045285878E-2</v>
      </c>
      <c r="T37">
        <f t="shared" si="13"/>
        <v>7.8444775541381559E-2</v>
      </c>
    </row>
    <row r="38" spans="1:20" x14ac:dyDescent="0.25">
      <c r="A38" s="9">
        <v>31</v>
      </c>
      <c r="B38">
        <f t="shared" si="7"/>
        <v>0.23137744865585788</v>
      </c>
      <c r="C38" s="9">
        <v>95</v>
      </c>
      <c r="D38" s="9">
        <v>90</v>
      </c>
      <c r="E38">
        <f>'Q2 Base'!F45</f>
        <v>0.26672299999999999</v>
      </c>
      <c r="F38">
        <f>'Q2 Base'!G40</f>
        <v>0.16749900000000001</v>
      </c>
      <c r="G38">
        <f t="shared" si="11"/>
        <v>0.73327699999999996</v>
      </c>
      <c r="H38">
        <f t="shared" si="11"/>
        <v>0.83250099999999994</v>
      </c>
      <c r="I38">
        <f t="shared" si="12"/>
        <v>0.61045383577699996</v>
      </c>
      <c r="J38">
        <f t="shared" si="8"/>
        <v>5.801338678552323E-2</v>
      </c>
      <c r="K38">
        <f t="shared" si="9"/>
        <v>0.19552846841329319</v>
      </c>
      <c r="L38">
        <f t="shared" si="10"/>
        <v>1.1343268665641341E-2</v>
      </c>
      <c r="M38">
        <f t="shared" si="18"/>
        <v>1.8581697748206238E-2</v>
      </c>
      <c r="N38">
        <f t="shared" si="6"/>
        <v>4.2993858166742588E-3</v>
      </c>
      <c r="P38">
        <f t="shared" si="14"/>
        <v>6.0533543539224348E-2</v>
      </c>
      <c r="Q38">
        <f t="shared" si="15"/>
        <v>0.21628705125424927</v>
      </c>
      <c r="R38">
        <f t="shared" si="16"/>
        <v>1.4006096862204019E-2</v>
      </c>
      <c r="S38">
        <f t="shared" si="17"/>
        <v>5.0043946096506961E-2</v>
      </c>
      <c r="T38">
        <f t="shared" si="13"/>
        <v>6.4050042958710973E-2</v>
      </c>
    </row>
    <row r="39" spans="1:20" x14ac:dyDescent="0.25">
      <c r="A39" s="9">
        <v>32</v>
      </c>
      <c r="B39">
        <f t="shared" si="7"/>
        <v>0.22035947491034086</v>
      </c>
      <c r="C39" s="9">
        <v>96</v>
      </c>
      <c r="D39" s="9">
        <v>91</v>
      </c>
      <c r="E39">
        <f>'Q2 Base'!F46</f>
        <v>0.28633399999999998</v>
      </c>
      <c r="F39">
        <f>'Q2 Base'!G41</f>
        <v>0.183952</v>
      </c>
      <c r="G39">
        <f t="shared" si="11"/>
        <v>0.71366600000000002</v>
      </c>
      <c r="H39">
        <f t="shared" si="11"/>
        <v>0.816048</v>
      </c>
      <c r="I39">
        <f t="shared" si="12"/>
        <v>0.58238571196800004</v>
      </c>
      <c r="J39">
        <f t="shared" si="8"/>
        <v>4.1402181693677223E-2</v>
      </c>
      <c r="K39">
        <f t="shared" si="9"/>
        <v>0.15956061559173107</v>
      </c>
      <c r="L39">
        <f t="shared" si="10"/>
        <v>6.6061575978838384E-3</v>
      </c>
      <c r="M39">
        <f t="shared" si="18"/>
        <v>1.1343268665641341E-2</v>
      </c>
      <c r="N39">
        <f t="shared" si="6"/>
        <v>2.4995967269276485E-3</v>
      </c>
      <c r="P39">
        <f t="shared" si="14"/>
        <v>4.6670118119881893E-2</v>
      </c>
      <c r="Q39">
        <f t="shared" si="15"/>
        <v>0.18418519974765185</v>
      </c>
      <c r="R39">
        <f t="shared" si="16"/>
        <v>1.0284202722900758E-2</v>
      </c>
      <c r="S39">
        <f t="shared" si="17"/>
        <v>4.0586953902648805E-2</v>
      </c>
      <c r="T39">
        <f t="shared" si="13"/>
        <v>5.0871156625549564E-2</v>
      </c>
    </row>
    <row r="40" spans="1:20" x14ac:dyDescent="0.25">
      <c r="A40" s="9">
        <v>33</v>
      </c>
      <c r="B40">
        <f t="shared" si="7"/>
        <v>0.20986616658127699</v>
      </c>
      <c r="C40" s="9">
        <v>97</v>
      </c>
      <c r="D40" s="9">
        <v>92</v>
      </c>
      <c r="E40">
        <f>'Q2 Base'!F47</f>
        <v>0.30397099999999999</v>
      </c>
      <c r="F40">
        <f>'Q2 Base'!G42</f>
        <v>0.199708</v>
      </c>
      <c r="G40">
        <f t="shared" si="11"/>
        <v>0.69602900000000001</v>
      </c>
      <c r="H40">
        <f t="shared" si="11"/>
        <v>0.800292</v>
      </c>
      <c r="I40">
        <f t="shared" si="12"/>
        <v>0.55702644046799998</v>
      </c>
      <c r="J40">
        <f t="shared" si="8"/>
        <v>2.8817119122068465E-2</v>
      </c>
      <c r="K40">
        <f t="shared" si="9"/>
        <v>0.12769508417313763</v>
      </c>
      <c r="L40">
        <f t="shared" si="10"/>
        <v>3.6798044519198679E-3</v>
      </c>
      <c r="M40">
        <f t="shared" si="18"/>
        <v>6.6061575978838384E-3</v>
      </c>
      <c r="N40">
        <f t="shared" si="6"/>
        <v>1.3864089708996584E-3</v>
      </c>
      <c r="P40">
        <f t="shared" si="14"/>
        <v>3.4796024095793389E-2</v>
      </c>
      <c r="Q40">
        <f t="shared" si="15"/>
        <v>0.15295445799384721</v>
      </c>
      <c r="R40">
        <f t="shared" si="16"/>
        <v>7.3025081892539034E-3</v>
      </c>
      <c r="S40">
        <f t="shared" si="17"/>
        <v>3.2099965760685675E-2</v>
      </c>
      <c r="T40">
        <f t="shared" si="13"/>
        <v>3.9402473949939579E-2</v>
      </c>
    </row>
    <row r="41" spans="1:20" x14ac:dyDescent="0.25">
      <c r="A41" s="9">
        <v>34</v>
      </c>
      <c r="B41">
        <f t="shared" si="7"/>
        <v>0.19987253960121618</v>
      </c>
      <c r="C41" s="9">
        <v>98</v>
      </c>
      <c r="D41" s="9">
        <v>93</v>
      </c>
      <c r="E41">
        <f>'Q2 Base'!F48</f>
        <v>0.30996899999999999</v>
      </c>
      <c r="F41">
        <f>'Q2 Base'!G43</f>
        <v>0.219752</v>
      </c>
      <c r="G41">
        <f t="shared" si="11"/>
        <v>0.69003100000000006</v>
      </c>
      <c r="H41">
        <f t="shared" si="11"/>
        <v>0.78024800000000005</v>
      </c>
      <c r="I41">
        <f t="shared" si="12"/>
        <v>0.53839530768800004</v>
      </c>
      <c r="J41">
        <f t="shared" si="8"/>
        <v>1.9884705524920027E-2</v>
      </c>
      <c r="K41">
        <f t="shared" si="9"/>
        <v>9.9633834035922297E-2</v>
      </c>
      <c r="L41">
        <f t="shared" si="10"/>
        <v>1.9811894501230694E-3</v>
      </c>
      <c r="M41">
        <f t="shared" si="18"/>
        <v>3.6798044519198679E-3</v>
      </c>
      <c r="N41">
        <f t="shared" si="6"/>
        <v>7.3549186104108534E-4</v>
      </c>
      <c r="P41">
        <f t="shared" si="14"/>
        <v>2.5137314670148597E-2</v>
      </c>
      <c r="Q41">
        <f t="shared" si="15"/>
        <v>0.12401527972121777</v>
      </c>
      <c r="R41">
        <f t="shared" si="16"/>
        <v>5.0242589218775077E-3</v>
      </c>
      <c r="S41">
        <f t="shared" si="17"/>
        <v>2.4787248907235E-2</v>
      </c>
      <c r="T41">
        <f t="shared" si="13"/>
        <v>2.9811507829112505E-2</v>
      </c>
    </row>
    <row r="42" spans="1:20" x14ac:dyDescent="0.25">
      <c r="A42" s="9">
        <v>35</v>
      </c>
      <c r="B42">
        <f t="shared" si="7"/>
        <v>0.19035479962020588</v>
      </c>
      <c r="C42" s="9">
        <v>99</v>
      </c>
      <c r="D42" s="9">
        <v>94</v>
      </c>
      <c r="E42">
        <f>'Q2 Base'!F49</f>
        <v>0.34224700000000002</v>
      </c>
      <c r="F42">
        <f>'Q2 Base'!G44</f>
        <v>0.24071699999999999</v>
      </c>
      <c r="G42">
        <f t="shared" si="11"/>
        <v>0.65775300000000003</v>
      </c>
      <c r="H42">
        <f t="shared" si="11"/>
        <v>0.75928300000000004</v>
      </c>
      <c r="I42">
        <f t="shared" si="12"/>
        <v>0.49942067109900007</v>
      </c>
      <c r="J42">
        <f t="shared" si="8"/>
        <v>1.3079224713132723E-2</v>
      </c>
      <c r="K42">
        <f t="shared" si="9"/>
        <v>7.565027640829719E-2</v>
      </c>
      <c r="L42">
        <f t="shared" si="10"/>
        <v>9.8944696475472224E-4</v>
      </c>
      <c r="M42">
        <f t="shared" si="18"/>
        <v>1.9811894501230694E-3</v>
      </c>
      <c r="N42">
        <f t="shared" si="6"/>
        <v>3.7712892078784274E-4</v>
      </c>
      <c r="P42">
        <f t="shared" si="14"/>
        <v>1.7903516074796958E-2</v>
      </c>
      <c r="Q42">
        <f t="shared" si="15"/>
        <v>9.7652644585799225E-2</v>
      </c>
      <c r="R42">
        <f t="shared" si="16"/>
        <v>3.4080202149151099E-3</v>
      </c>
      <c r="S42">
        <f t="shared" si="17"/>
        <v>1.8588649592512992E-2</v>
      </c>
      <c r="T42">
        <f t="shared" si="13"/>
        <v>2.1996669807428103E-2</v>
      </c>
    </row>
    <row r="43" spans="1:20" x14ac:dyDescent="0.25">
      <c r="A43" s="9">
        <v>36</v>
      </c>
      <c r="B43">
        <f t="shared" si="7"/>
        <v>0.18129028535257702</v>
      </c>
      <c r="C43" s="9">
        <v>100</v>
      </c>
      <c r="D43" s="9">
        <v>95</v>
      </c>
      <c r="E43">
        <f>'Q2 Base'!F50</f>
        <v>1</v>
      </c>
      <c r="F43">
        <f>'Q2 Base'!G45</f>
        <v>0.26643499999999998</v>
      </c>
      <c r="G43">
        <f t="shared" si="11"/>
        <v>0</v>
      </c>
      <c r="H43">
        <f t="shared" si="11"/>
        <v>0.73356500000000002</v>
      </c>
      <c r="I43">
        <f t="shared" si="12"/>
        <v>0</v>
      </c>
      <c r="J43">
        <f t="shared" si="8"/>
        <v>0</v>
      </c>
      <c r="K43">
        <f t="shared" si="9"/>
        <v>5.5494395013452533E-2</v>
      </c>
      <c r="L43">
        <f t="shared" si="10"/>
        <v>0</v>
      </c>
      <c r="M43">
        <f t="shared" si="18"/>
        <v>9.8944696475472224E-4</v>
      </c>
      <c r="N43">
        <f t="shared" si="6"/>
        <v>1.7937712258162482E-4</v>
      </c>
      <c r="P43">
        <f t="shared" si="14"/>
        <v>1.2089777748378001E-2</v>
      </c>
      <c r="Q43">
        <f t="shared" si="15"/>
        <v>7.4660829443542465E-2</v>
      </c>
      <c r="R43">
        <f t="shared" si="16"/>
        <v>2.1917592578526838E-3</v>
      </c>
      <c r="S43">
        <f t="shared" si="17"/>
        <v>1.3535283074479898E-2</v>
      </c>
      <c r="T43">
        <f t="shared" si="13"/>
        <v>1.5727042332332582E-2</v>
      </c>
    </row>
    <row r="44" spans="1:20" x14ac:dyDescent="0.25">
      <c r="A44" s="9">
        <v>37</v>
      </c>
      <c r="B44">
        <f t="shared" si="7"/>
        <v>0.17265741462150191</v>
      </c>
      <c r="C44" s="9">
        <v>101</v>
      </c>
      <c r="D44" s="9">
        <v>96</v>
      </c>
      <c r="E44">
        <f>'Q2 Base'!F51</f>
        <v>0</v>
      </c>
      <c r="F44">
        <f>'Q2 Base'!G46</f>
        <v>0.285941</v>
      </c>
      <c r="G44">
        <f t="shared" si="11"/>
        <v>1</v>
      </c>
      <c r="H44">
        <f t="shared" si="11"/>
        <v>0.714059</v>
      </c>
      <c r="I44">
        <f t="shared" si="12"/>
        <v>0.714059</v>
      </c>
      <c r="J44">
        <f t="shared" si="8"/>
        <v>0</v>
      </c>
      <c r="K44">
        <f t="shared" si="9"/>
        <v>3.96262722089109E-2</v>
      </c>
      <c r="L44">
        <f t="shared" si="10"/>
        <v>0</v>
      </c>
      <c r="M44">
        <f t="shared" si="18"/>
        <v>0</v>
      </c>
      <c r="N44">
        <f t="shared" si="6"/>
        <v>0</v>
      </c>
      <c r="P44">
        <f t="shared" si="14"/>
        <v>0</v>
      </c>
      <c r="Q44">
        <f t="shared" si="15"/>
        <v>5.5494395013452533E-2</v>
      </c>
      <c r="R44">
        <f t="shared" si="16"/>
        <v>0</v>
      </c>
      <c r="S44">
        <f t="shared" si="17"/>
        <v>9.5815187690070826E-3</v>
      </c>
      <c r="T44">
        <f t="shared" si="13"/>
        <v>9.5815187690070826E-3</v>
      </c>
    </row>
    <row r="45" spans="1:20" x14ac:dyDescent="0.25">
      <c r="A45" s="9">
        <v>38</v>
      </c>
      <c r="B45">
        <f t="shared" si="7"/>
        <v>0.16443563297285896</v>
      </c>
      <c r="C45" s="9">
        <v>102</v>
      </c>
      <c r="D45" s="9">
        <v>97</v>
      </c>
      <c r="E45">
        <f>'Q2 Base'!F52</f>
        <v>0</v>
      </c>
      <c r="F45">
        <f>'Q2 Base'!G47</f>
        <v>0.303421</v>
      </c>
      <c r="G45">
        <f t="shared" si="11"/>
        <v>1</v>
      </c>
      <c r="H45">
        <f t="shared" si="11"/>
        <v>0.69657900000000006</v>
      </c>
      <c r="I45">
        <f t="shared" si="12"/>
        <v>0.69657900000000006</v>
      </c>
      <c r="J45">
        <f t="shared" si="8"/>
        <v>0</v>
      </c>
      <c r="K45">
        <f t="shared" si="9"/>
        <v>2.7602829069010949E-2</v>
      </c>
      <c r="L45">
        <f t="shared" si="10"/>
        <v>0</v>
      </c>
      <c r="M45">
        <f t="shared" si="18"/>
        <v>0</v>
      </c>
      <c r="N45">
        <f t="shared" si="6"/>
        <v>0</v>
      </c>
      <c r="P45">
        <f t="shared" si="14"/>
        <v>0</v>
      </c>
      <c r="Q45">
        <f t="shared" si="15"/>
        <v>3.96262722089109E-2</v>
      </c>
      <c r="R45">
        <f t="shared" si="16"/>
        <v>0</v>
      </c>
      <c r="S45">
        <f t="shared" si="17"/>
        <v>6.5159711530270734E-3</v>
      </c>
      <c r="T45">
        <f t="shared" si="13"/>
        <v>6.5159711530270734E-3</v>
      </c>
    </row>
    <row r="46" spans="1:20" x14ac:dyDescent="0.25">
      <c r="A46" s="9">
        <v>39</v>
      </c>
      <c r="B46">
        <f t="shared" si="7"/>
        <v>0.15660536473605616</v>
      </c>
      <c r="C46" s="9">
        <v>103</v>
      </c>
      <c r="D46" s="9">
        <v>98</v>
      </c>
      <c r="E46">
        <f>'Q2 Base'!F53</f>
        <v>0</v>
      </c>
      <c r="F46">
        <f>'Q2 Base'!G48</f>
        <v>0.30917899999999998</v>
      </c>
      <c r="G46">
        <f t="shared" si="11"/>
        <v>1</v>
      </c>
      <c r="H46">
        <f t="shared" si="11"/>
        <v>0.69082100000000002</v>
      </c>
      <c r="I46">
        <f t="shared" si="12"/>
        <v>0.69082100000000002</v>
      </c>
      <c r="J46">
        <f t="shared" si="8"/>
        <v>0</v>
      </c>
      <c r="K46">
        <f t="shared" si="9"/>
        <v>1.9068613980283214E-2</v>
      </c>
      <c r="L46">
        <f t="shared" si="10"/>
        <v>0</v>
      </c>
      <c r="M46">
        <f t="shared" si="18"/>
        <v>0</v>
      </c>
      <c r="N46">
        <f t="shared" si="6"/>
        <v>0</v>
      </c>
      <c r="P46">
        <f t="shared" si="14"/>
        <v>0</v>
      </c>
      <c r="Q46">
        <f t="shared" si="15"/>
        <v>2.7602829069010949E-2</v>
      </c>
      <c r="R46">
        <f t="shared" si="16"/>
        <v>0</v>
      </c>
      <c r="S46">
        <f t="shared" si="17"/>
        <v>4.3227511140994726E-3</v>
      </c>
      <c r="T46">
        <f t="shared" si="13"/>
        <v>4.3227511140994726E-3</v>
      </c>
    </row>
    <row r="47" spans="1:20" x14ac:dyDescent="0.25">
      <c r="A47" s="9">
        <v>40</v>
      </c>
      <c r="B47">
        <f t="shared" si="7"/>
        <v>0.14914796641529154</v>
      </c>
      <c r="C47" s="9">
        <v>104</v>
      </c>
      <c r="D47" s="9">
        <v>99</v>
      </c>
      <c r="E47">
        <f>'Q2 Base'!F54</f>
        <v>0</v>
      </c>
      <c r="F47">
        <f>'Q2 Base'!G49</f>
        <v>0.34110200000000002</v>
      </c>
      <c r="G47">
        <f t="shared" si="11"/>
        <v>1</v>
      </c>
      <c r="H47">
        <f t="shared" si="11"/>
        <v>0.65889799999999998</v>
      </c>
      <c r="I47">
        <f t="shared" si="12"/>
        <v>0.65889799999999998</v>
      </c>
      <c r="J47">
        <f t="shared" si="8"/>
        <v>0</v>
      </c>
      <c r="K47">
        <f t="shared" si="9"/>
        <v>1.2564271614380649E-2</v>
      </c>
      <c r="L47">
        <f t="shared" si="10"/>
        <v>0</v>
      </c>
      <c r="M47">
        <f t="shared" si="18"/>
        <v>0</v>
      </c>
      <c r="N47">
        <f t="shared" si="6"/>
        <v>0</v>
      </c>
      <c r="P47">
        <f t="shared" si="14"/>
        <v>0</v>
      </c>
      <c r="Q47">
        <f t="shared" si="15"/>
        <v>1.9068613980283214E-2</v>
      </c>
      <c r="R47">
        <f t="shared" si="16"/>
        <v>0</v>
      </c>
      <c r="S47">
        <f t="shared" si="17"/>
        <v>2.8440449975174397E-3</v>
      </c>
      <c r="T47">
        <f t="shared" si="13"/>
        <v>2.8440449975174397E-3</v>
      </c>
    </row>
    <row r="48" spans="1:20" x14ac:dyDescent="0.25">
      <c r="A48" s="9">
        <v>41</v>
      </c>
      <c r="B48">
        <f t="shared" si="7"/>
        <v>0.14204568230027767</v>
      </c>
      <c r="C48" s="9">
        <v>105</v>
      </c>
      <c r="D48" s="9">
        <v>100</v>
      </c>
      <c r="E48">
        <f>'Q2 Base'!F55</f>
        <v>0</v>
      </c>
      <c r="F48">
        <f>'Q2 Base'!G50</f>
        <v>1</v>
      </c>
      <c r="G48">
        <f t="shared" si="11"/>
        <v>1</v>
      </c>
      <c r="H48">
        <f t="shared" si="11"/>
        <v>0</v>
      </c>
      <c r="I48">
        <f t="shared" si="12"/>
        <v>0</v>
      </c>
      <c r="J48">
        <f t="shared" si="8"/>
        <v>0</v>
      </c>
      <c r="K48">
        <f t="shared" si="9"/>
        <v>0</v>
      </c>
      <c r="L48">
        <f t="shared" si="10"/>
        <v>0</v>
      </c>
      <c r="M48">
        <f t="shared" si="18"/>
        <v>0</v>
      </c>
      <c r="N48">
        <f t="shared" si="6"/>
        <v>0</v>
      </c>
      <c r="P48">
        <f t="shared" si="14"/>
        <v>0</v>
      </c>
      <c r="Q48">
        <f t="shared" si="15"/>
        <v>1.2564271614380649E-2</v>
      </c>
      <c r="R48">
        <f t="shared" si="16"/>
        <v>0</v>
      </c>
      <c r="S48">
        <f t="shared" si="17"/>
        <v>1.7847005340707106E-3</v>
      </c>
      <c r="T48">
        <f t="shared" si="13"/>
        <v>1.7847005340707106E-3</v>
      </c>
    </row>
    <row r="49" spans="3:4" x14ac:dyDescent="0.25">
      <c r="C49" s="9"/>
      <c r="D49" s="9"/>
    </row>
    <row r="50" spans="3:4" x14ac:dyDescent="0.25">
      <c r="C50" s="9"/>
      <c r="D50" s="9"/>
    </row>
    <row r="51" spans="3:4" x14ac:dyDescent="0.25">
      <c r="C51" s="9"/>
      <c r="D51" s="9"/>
    </row>
    <row r="52" spans="3:4" x14ac:dyDescent="0.25">
      <c r="C52" s="9"/>
      <c r="D52" s="9"/>
    </row>
    <row r="53" spans="3:4" x14ac:dyDescent="0.25">
      <c r="C53" s="9"/>
      <c r="D53" s="9"/>
    </row>
  </sheetData>
  <mergeCells count="4">
    <mergeCell ref="E1:F1"/>
    <mergeCell ref="G1:H1"/>
    <mergeCell ref="J1:L1"/>
    <mergeCell ref="Y6:Y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7EA9-A02F-42EC-985E-9AF99E83DEC5}">
  <dimension ref="A1:AC48"/>
  <sheetViews>
    <sheetView topLeftCell="N15" workbookViewId="0">
      <selection activeCell="X26" sqref="X26"/>
    </sheetView>
  </sheetViews>
  <sheetFormatPr defaultRowHeight="15" x14ac:dyDescent="0.25"/>
  <cols>
    <col min="10" max="12" width="11.85546875" customWidth="1"/>
    <col min="25" max="25" width="11.5703125" bestFit="1" customWidth="1"/>
    <col min="28" max="28" width="33.28515625" bestFit="1" customWidth="1"/>
    <col min="30" max="30" width="33.28515625" bestFit="1" customWidth="1"/>
  </cols>
  <sheetData>
    <row r="1" spans="1:25" s="78" customFormat="1" x14ac:dyDescent="0.25">
      <c r="E1" s="81"/>
      <c r="F1" s="81"/>
      <c r="G1" s="81"/>
      <c r="H1" s="81"/>
    </row>
    <row r="2" spans="1:25" ht="18" x14ac:dyDescent="0.35">
      <c r="A2" s="35" t="s">
        <v>6</v>
      </c>
      <c r="B2" s="21">
        <v>0.05</v>
      </c>
      <c r="X2" s="35" t="s">
        <v>191</v>
      </c>
      <c r="Y2">
        <f>PRODUCT(Q8:Q12)</f>
        <v>0.93107622806713597</v>
      </c>
    </row>
    <row r="3" spans="1:25" ht="18" x14ac:dyDescent="0.35">
      <c r="A3" s="35" t="s">
        <v>12</v>
      </c>
      <c r="B3">
        <f>1/(1+B2)</f>
        <v>0.95238095238095233</v>
      </c>
      <c r="X3" s="35" t="s">
        <v>192</v>
      </c>
      <c r="Y3">
        <f>PRODUCT(R8:R12)</f>
        <v>0.95442925981317361</v>
      </c>
    </row>
    <row r="4" spans="1:25" s="4" customFormat="1" ht="18" x14ac:dyDescent="0.35">
      <c r="A4" s="35" t="s">
        <v>14</v>
      </c>
      <c r="B4">
        <f>B2*B3</f>
        <v>4.7619047619047616E-2</v>
      </c>
      <c r="C4" s="10" t="s">
        <v>10</v>
      </c>
      <c r="D4" s="10"/>
      <c r="M4" s="10" t="s">
        <v>10</v>
      </c>
      <c r="N4" s="10"/>
      <c r="T4"/>
      <c r="U4"/>
      <c r="V4"/>
      <c r="W4"/>
      <c r="X4" s="35" t="s">
        <v>168</v>
      </c>
      <c r="Y4">
        <f>Y2*Y3</f>
        <v>0.88864639518375821</v>
      </c>
    </row>
    <row r="5" spans="1:25" s="4" customFormat="1" ht="18.75" x14ac:dyDescent="0.35">
      <c r="A5" s="38" t="s">
        <v>146</v>
      </c>
      <c r="B5" s="38"/>
      <c r="C5" s="4" t="s">
        <v>148</v>
      </c>
      <c r="D5" s="4" t="s">
        <v>149</v>
      </c>
      <c r="E5" s="37" t="s">
        <v>150</v>
      </c>
      <c r="F5" s="37" t="s">
        <v>151</v>
      </c>
      <c r="G5" s="37" t="s">
        <v>152</v>
      </c>
      <c r="H5" s="37" t="s">
        <v>153</v>
      </c>
      <c r="I5" s="37" t="s">
        <v>154</v>
      </c>
      <c r="J5" s="37" t="s">
        <v>170</v>
      </c>
      <c r="K5" s="37" t="s">
        <v>171</v>
      </c>
      <c r="L5" s="37" t="s">
        <v>172</v>
      </c>
      <c r="M5" s="4" t="s">
        <v>148</v>
      </c>
      <c r="N5" s="4" t="s">
        <v>149</v>
      </c>
      <c r="O5" s="37" t="s">
        <v>150</v>
      </c>
      <c r="P5" s="37" t="s">
        <v>151</v>
      </c>
      <c r="Q5" s="37" t="s">
        <v>152</v>
      </c>
      <c r="R5" s="37" t="s">
        <v>153</v>
      </c>
      <c r="S5" s="37" t="s">
        <v>173</v>
      </c>
      <c r="T5" s="39">
        <f>(1-B3^5)/B4</f>
        <v>4.5459505041623647</v>
      </c>
      <c r="U5" s="39"/>
      <c r="V5" s="39"/>
      <c r="W5" s="39"/>
      <c r="X5" s="35" t="s">
        <v>169</v>
      </c>
      <c r="Y5">
        <f>B3^5</f>
        <v>0.78352616646845885</v>
      </c>
    </row>
    <row r="6" spans="1:25" x14ac:dyDescent="0.25">
      <c r="E6" s="39"/>
      <c r="F6" s="39"/>
      <c r="G6" s="39"/>
      <c r="H6" s="39"/>
      <c r="I6" s="39"/>
      <c r="J6" s="39"/>
      <c r="K6" s="39"/>
      <c r="L6" s="39"/>
      <c r="X6" s="32" t="s">
        <v>174</v>
      </c>
      <c r="Y6" s="41">
        <v>12000</v>
      </c>
    </row>
    <row r="7" spans="1:25" x14ac:dyDescent="0.25">
      <c r="W7" s="35" t="s">
        <v>194</v>
      </c>
    </row>
    <row r="8" spans="1:25" x14ac:dyDescent="0.25">
      <c r="A8" s="9">
        <v>1</v>
      </c>
      <c r="C8" s="9">
        <v>70</v>
      </c>
      <c r="D8" s="9">
        <v>65</v>
      </c>
      <c r="E8">
        <f>'Q2 Base'!F20</f>
        <v>1.8266000000000001E-2</v>
      </c>
      <c r="F8">
        <f>'Q2 Base'!G15</f>
        <v>1.1955E-2</v>
      </c>
      <c r="G8">
        <f t="shared" ref="G8:H43" si="0">1-E8</f>
        <v>0.981734</v>
      </c>
      <c r="H8">
        <f t="shared" si="0"/>
        <v>0.98804499999999995</v>
      </c>
      <c r="I8">
        <f t="shared" ref="I8:I43" si="1">G8*H8</f>
        <v>0.96999737002999997</v>
      </c>
      <c r="J8">
        <f>1+J9*I8*$B$3</f>
        <v>9.0293800346466728</v>
      </c>
      <c r="K8">
        <f>1+K9*G8*$B$3</f>
        <v>10.438210246009325</v>
      </c>
      <c r="L8">
        <f>1+L9*H8*$B$3</f>
        <v>12.052304383312901</v>
      </c>
      <c r="M8" s="9">
        <v>65</v>
      </c>
      <c r="N8" s="9">
        <v>60</v>
      </c>
      <c r="O8">
        <f>'Q2 Base'!F15</f>
        <v>1.1978000000000001E-2</v>
      </c>
      <c r="P8">
        <f>'Q2 Base'!G10</f>
        <v>7.7190000000000002E-3</v>
      </c>
      <c r="Q8">
        <f>1-O8</f>
        <v>0.98802199999999996</v>
      </c>
      <c r="R8">
        <f t="shared" ref="Q8:R12" si="2">1-P8</f>
        <v>0.99228099999999997</v>
      </c>
      <c r="Y8" s="7">
        <f>Y6*T5</f>
        <v>54551.406049948375</v>
      </c>
    </row>
    <row r="9" spans="1:25" x14ac:dyDescent="0.25">
      <c r="A9" s="9">
        <v>2</v>
      </c>
      <c r="C9" s="9">
        <v>71</v>
      </c>
      <c r="D9" s="9">
        <v>66</v>
      </c>
      <c r="E9">
        <f>'Q2 Base'!F21</f>
        <v>2.0729000000000001E-2</v>
      </c>
      <c r="F9">
        <f>'Q2 Base'!G16</f>
        <v>1.303E-2</v>
      </c>
      <c r="G9">
        <f t="shared" si="0"/>
        <v>0.979271</v>
      </c>
      <c r="H9">
        <f t="shared" si="0"/>
        <v>0.98697000000000001</v>
      </c>
      <c r="I9">
        <f t="shared" si="1"/>
        <v>0.96651109886999997</v>
      </c>
      <c r="J9">
        <f t="shared" ref="J9:J37" si="3">1+J10*I9*$B$3</f>
        <v>8.6916205103919602</v>
      </c>
      <c r="K9">
        <f t="shared" ref="K9:L36" si="4">1+K10*G9*$B$3</f>
        <v>10.094507023602922</v>
      </c>
      <c r="L9">
        <f t="shared" si="4"/>
        <v>11.745335083400601</v>
      </c>
      <c r="M9" s="9">
        <v>66</v>
      </c>
      <c r="N9" s="9">
        <v>61</v>
      </c>
      <c r="O9">
        <f>'Q2 Base'!F16</f>
        <v>1.3053E-2</v>
      </c>
      <c r="P9">
        <f>'Q2 Base'!G11</f>
        <v>8.3169999999999997E-3</v>
      </c>
      <c r="Q9">
        <f t="shared" si="2"/>
        <v>0.98694700000000002</v>
      </c>
      <c r="R9">
        <f t="shared" si="2"/>
        <v>0.99168299999999998</v>
      </c>
      <c r="U9" s="35" t="s">
        <v>193</v>
      </c>
    </row>
    <row r="10" spans="1:25" x14ac:dyDescent="0.25">
      <c r="A10" s="9">
        <v>3</v>
      </c>
      <c r="C10" s="9">
        <v>72</v>
      </c>
      <c r="D10" s="9">
        <v>67</v>
      </c>
      <c r="E10">
        <f>'Q2 Base'!F22</f>
        <v>2.2803E-2</v>
      </c>
      <c r="F10">
        <f>'Q2 Base'!G17</f>
        <v>1.4064E-2</v>
      </c>
      <c r="G10">
        <f t="shared" si="0"/>
        <v>0.97719699999999998</v>
      </c>
      <c r="H10">
        <f t="shared" si="0"/>
        <v>0.98593600000000003</v>
      </c>
      <c r="I10">
        <f t="shared" si="1"/>
        <v>0.96345370139200004</v>
      </c>
      <c r="J10">
        <f>1+J11*I10*$B$3</f>
        <v>8.3560359993319047</v>
      </c>
      <c r="K10">
        <f>1+K11*G10*$B$3</f>
        <v>9.7513684922591075</v>
      </c>
      <c r="L10">
        <f t="shared" si="4"/>
        <v>11.431554999210341</v>
      </c>
      <c r="M10" s="9">
        <v>67</v>
      </c>
      <c r="N10" s="9">
        <v>62</v>
      </c>
      <c r="O10">
        <f>'Q2 Base'!F17</f>
        <v>1.4088E-2</v>
      </c>
      <c r="P10">
        <f>'Q2 Base'!G12</f>
        <v>9.0550000000000005E-3</v>
      </c>
      <c r="Q10">
        <f t="shared" si="2"/>
        <v>0.98591200000000001</v>
      </c>
      <c r="R10">
        <f t="shared" si="2"/>
        <v>0.99094499999999996</v>
      </c>
      <c r="X10" s="36" t="s">
        <v>175</v>
      </c>
      <c r="Y10">
        <f>J8</f>
        <v>9.0293800346466728</v>
      </c>
    </row>
    <row r="11" spans="1:25" x14ac:dyDescent="0.25">
      <c r="A11" s="9">
        <v>4</v>
      </c>
      <c r="C11" s="9">
        <v>73</v>
      </c>
      <c r="D11" s="9">
        <v>68</v>
      </c>
      <c r="E11">
        <f>'Q2 Base'!F23</f>
        <v>2.5225999999999998E-2</v>
      </c>
      <c r="F11">
        <f>'Q2 Base'!G18</f>
        <v>1.5184E-2</v>
      </c>
      <c r="G11">
        <f t="shared" si="0"/>
        <v>0.97477400000000003</v>
      </c>
      <c r="H11">
        <f t="shared" si="0"/>
        <v>0.98481600000000002</v>
      </c>
      <c r="I11">
        <f t="shared" si="1"/>
        <v>0.95997303158400005</v>
      </c>
      <c r="J11">
        <f t="shared" si="3"/>
        <v>8.0168230067922117</v>
      </c>
      <c r="K11">
        <f t="shared" si="4"/>
        <v>9.4033617754373608</v>
      </c>
      <c r="L11">
        <f t="shared" si="4"/>
        <v>11.109374999159032</v>
      </c>
      <c r="M11" s="9">
        <v>68</v>
      </c>
      <c r="N11" s="9">
        <v>63</v>
      </c>
      <c r="O11">
        <f>'Q2 Base'!F18</f>
        <v>1.5207999999999999E-2</v>
      </c>
      <c r="P11">
        <f>'Q2 Base'!G13</f>
        <v>1.0198E-2</v>
      </c>
      <c r="Q11">
        <f t="shared" si="2"/>
        <v>0.984792</v>
      </c>
      <c r="R11">
        <f t="shared" si="2"/>
        <v>0.98980199999999996</v>
      </c>
      <c r="X11" s="36" t="s">
        <v>199</v>
      </c>
      <c r="Y11" s="40">
        <f>Y6*Y10*Y4*Y5</f>
        <v>75443.471919931879</v>
      </c>
    </row>
    <row r="12" spans="1:25" x14ac:dyDescent="0.25">
      <c r="A12" s="9">
        <v>5</v>
      </c>
      <c r="C12" s="9">
        <v>74</v>
      </c>
      <c r="D12" s="9">
        <v>69</v>
      </c>
      <c r="E12">
        <f>'Q2 Base'!F24</f>
        <v>2.8684000000000001E-2</v>
      </c>
      <c r="F12">
        <f>'Q2 Base'!G19</f>
        <v>1.6560999999999999E-2</v>
      </c>
      <c r="G12">
        <f t="shared" si="0"/>
        <v>0.97131599999999996</v>
      </c>
      <c r="H12">
        <f t="shared" si="0"/>
        <v>0.98343899999999995</v>
      </c>
      <c r="I12">
        <f t="shared" si="1"/>
        <v>0.95523003572399989</v>
      </c>
      <c r="J12">
        <f t="shared" si="3"/>
        <v>7.6748657667755884</v>
      </c>
      <c r="K12">
        <f>1+K13*G12*$B$3</f>
        <v>9.0518723973036099</v>
      </c>
      <c r="L12">
        <f t="shared" si="4"/>
        <v>10.778504562392349</v>
      </c>
      <c r="M12" s="9">
        <v>69</v>
      </c>
      <c r="N12" s="9">
        <v>64</v>
      </c>
      <c r="O12">
        <f>'Q2 Base'!F19</f>
        <v>1.6573000000000001E-2</v>
      </c>
      <c r="P12">
        <f>'Q2 Base'!G14</f>
        <v>1.1132E-2</v>
      </c>
      <c r="Q12">
        <f t="shared" si="2"/>
        <v>0.98342700000000005</v>
      </c>
      <c r="R12">
        <f t="shared" si="2"/>
        <v>0.98886799999999997</v>
      </c>
    </row>
    <row r="13" spans="1:25" x14ac:dyDescent="0.25">
      <c r="A13" s="9">
        <v>6</v>
      </c>
      <c r="C13" s="9">
        <v>75</v>
      </c>
      <c r="D13" s="9">
        <v>70</v>
      </c>
      <c r="E13">
        <f>'Q2 Base'!F25</f>
        <v>3.2051000000000003E-2</v>
      </c>
      <c r="F13">
        <f>'Q2 Base'!G20</f>
        <v>1.8253999999999999E-2</v>
      </c>
      <c r="G13">
        <f t="shared" si="0"/>
        <v>0.96794899999999995</v>
      </c>
      <c r="H13">
        <f t="shared" si="0"/>
        <v>0.98174600000000001</v>
      </c>
      <c r="I13">
        <f t="shared" si="1"/>
        <v>0.95028005895399992</v>
      </c>
      <c r="J13">
        <f t="shared" si="3"/>
        <v>7.3370903269413166</v>
      </c>
      <c r="K13">
        <f t="shared" si="4"/>
        <v>8.7041354380745215</v>
      </c>
      <c r="L13">
        <f t="shared" si="4"/>
        <v>10.440332130932338</v>
      </c>
      <c r="U13" s="42" t="s">
        <v>196</v>
      </c>
      <c r="X13" s="39"/>
      <c r="Y13" s="39"/>
    </row>
    <row r="14" spans="1:25" x14ac:dyDescent="0.25">
      <c r="A14" s="9">
        <v>7</v>
      </c>
      <c r="C14" s="9">
        <v>76</v>
      </c>
      <c r="D14" s="9">
        <v>71</v>
      </c>
      <c r="E14">
        <f>'Q2 Base'!F26</f>
        <v>3.5624000000000003E-2</v>
      </c>
      <c r="F14">
        <f>'Q2 Base'!G21</f>
        <v>2.0715999999999998E-2</v>
      </c>
      <c r="G14">
        <f t="shared" si="0"/>
        <v>0.96437600000000001</v>
      </c>
      <c r="H14">
        <f t="shared" si="0"/>
        <v>0.97928400000000004</v>
      </c>
      <c r="I14">
        <f t="shared" si="1"/>
        <v>0.944397986784</v>
      </c>
      <c r="J14">
        <f t="shared" si="3"/>
        <v>7.0020882587103506</v>
      </c>
      <c r="K14">
        <f t="shared" si="4"/>
        <v>8.3571987883434442</v>
      </c>
      <c r="L14">
        <f t="shared" si="4"/>
        <v>10.096653042109624</v>
      </c>
      <c r="W14" s="39"/>
      <c r="X14" s="39"/>
      <c r="Y14" s="43">
        <f>Y18*Y2*(1-Y3)*Y5*K8</f>
        <v>2082.1025517544622</v>
      </c>
    </row>
    <row r="15" spans="1:25" x14ac:dyDescent="0.25">
      <c r="A15" s="9">
        <v>8</v>
      </c>
      <c r="C15" s="9">
        <v>77</v>
      </c>
      <c r="D15" s="9">
        <v>72</v>
      </c>
      <c r="E15">
        <f>'Q2 Base'!F27</f>
        <v>3.8908999999999999E-2</v>
      </c>
      <c r="F15">
        <f>'Q2 Base'!G22</f>
        <v>2.2790999999999999E-2</v>
      </c>
      <c r="G15">
        <f t="shared" si="0"/>
        <v>0.96109100000000003</v>
      </c>
      <c r="H15">
        <f t="shared" si="0"/>
        <v>0.97720899999999999</v>
      </c>
      <c r="I15">
        <f t="shared" si="1"/>
        <v>0.93918677501900005</v>
      </c>
      <c r="J15">
        <f t="shared" si="3"/>
        <v>6.6732381473058862</v>
      </c>
      <c r="K15">
        <f t="shared" si="4"/>
        <v>8.0104220011288305</v>
      </c>
      <c r="L15">
        <f>1+L16*H15*$B$3</f>
        <v>9.7535400294655137</v>
      </c>
      <c r="U15" s="42" t="s">
        <v>195</v>
      </c>
      <c r="X15" s="39"/>
      <c r="Y15" s="39"/>
    </row>
    <row r="16" spans="1:25" x14ac:dyDescent="0.25">
      <c r="A16" s="9">
        <v>9</v>
      </c>
      <c r="C16" s="9">
        <v>78</v>
      </c>
      <c r="D16" s="9">
        <v>73</v>
      </c>
      <c r="E16">
        <f>'Q2 Base'!F28</f>
        <v>4.3244999999999999E-2</v>
      </c>
      <c r="F16">
        <f>'Q2 Base'!G23</f>
        <v>2.5212999999999999E-2</v>
      </c>
      <c r="G16">
        <f t="shared" si="0"/>
        <v>0.95675500000000002</v>
      </c>
      <c r="H16">
        <f t="shared" si="0"/>
        <v>0.97478699999999996</v>
      </c>
      <c r="I16">
        <f t="shared" si="1"/>
        <v>0.93263233618499997</v>
      </c>
      <c r="J16">
        <f t="shared" si="3"/>
        <v>6.3426149229482824</v>
      </c>
      <c r="K16">
        <f t="shared" si="4"/>
        <v>7.6589449918741028</v>
      </c>
      <c r="L16">
        <f t="shared" si="4"/>
        <v>9.4055795954998267</v>
      </c>
      <c r="W16" s="39"/>
      <c r="X16" s="39"/>
      <c r="Y16" s="43">
        <f>Y18*(1-Y2)*Y3*Y5*L8</f>
        <v>3727.2423155606734</v>
      </c>
    </row>
    <row r="17" spans="1:29" x14ac:dyDescent="0.25">
      <c r="A17" s="9">
        <v>10</v>
      </c>
      <c r="C17" s="9">
        <v>79</v>
      </c>
      <c r="D17" s="9">
        <v>74</v>
      </c>
      <c r="E17">
        <f>'Q2 Base'!F29</f>
        <v>4.7893999999999999E-2</v>
      </c>
      <c r="F17">
        <f>'Q2 Base'!G24</f>
        <v>2.8656999999999998E-2</v>
      </c>
      <c r="G17">
        <f t="shared" si="0"/>
        <v>0.95210600000000001</v>
      </c>
      <c r="H17">
        <f t="shared" si="0"/>
        <v>0.97134299999999996</v>
      </c>
      <c r="I17">
        <f t="shared" si="1"/>
        <v>0.92482149835799998</v>
      </c>
      <c r="J17">
        <f t="shared" si="3"/>
        <v>6.0149594341139485</v>
      </c>
      <c r="K17">
        <f t="shared" si="4"/>
        <v>7.3079233883991286</v>
      </c>
      <c r="L17">
        <f t="shared" si="4"/>
        <v>9.0541406227974104</v>
      </c>
    </row>
    <row r="18" spans="1:29" x14ac:dyDescent="0.25">
      <c r="A18" s="9">
        <v>11</v>
      </c>
      <c r="C18" s="9">
        <v>80</v>
      </c>
      <c r="D18" s="9">
        <v>75</v>
      </c>
      <c r="E18">
        <f>'Q2 Base'!F30</f>
        <v>5.4127000000000002E-2</v>
      </c>
      <c r="F18">
        <f>'Q2 Base'!G25</f>
        <v>3.2023999999999997E-2</v>
      </c>
      <c r="G18">
        <f t="shared" si="0"/>
        <v>0.94587299999999996</v>
      </c>
      <c r="H18">
        <f t="shared" si="0"/>
        <v>0.96797599999999995</v>
      </c>
      <c r="I18">
        <f t="shared" si="1"/>
        <v>0.91558236304799989</v>
      </c>
      <c r="J18">
        <f t="shared" si="3"/>
        <v>5.6937554059554119</v>
      </c>
      <c r="K18">
        <f t="shared" si="4"/>
        <v>6.9564938754918941</v>
      </c>
      <c r="L18">
        <f t="shared" si="4"/>
        <v>8.7063453938899862</v>
      </c>
      <c r="X18" s="36" t="s">
        <v>176</v>
      </c>
      <c r="Y18" s="7">
        <f>Y6*0.5</f>
        <v>6000</v>
      </c>
    </row>
    <row r="19" spans="1:29" x14ac:dyDescent="0.25">
      <c r="A19" s="9">
        <v>12</v>
      </c>
      <c r="C19" s="9">
        <v>81</v>
      </c>
      <c r="D19" s="9">
        <v>76</v>
      </c>
      <c r="E19">
        <f>'Q2 Base'!F31</f>
        <v>6.0229999999999999E-2</v>
      </c>
      <c r="F19">
        <f>'Q2 Base'!G26</f>
        <v>3.5595000000000002E-2</v>
      </c>
      <c r="G19">
        <f t="shared" si="0"/>
        <v>0.93976999999999999</v>
      </c>
      <c r="H19">
        <f t="shared" si="0"/>
        <v>0.96440499999999996</v>
      </c>
      <c r="I19">
        <f t="shared" si="1"/>
        <v>0.90631888684999995</v>
      </c>
      <c r="J19">
        <f t="shared" si="3"/>
        <v>5.3828507135570565</v>
      </c>
      <c r="K19">
        <f t="shared" si="4"/>
        <v>6.6122180982716392</v>
      </c>
      <c r="L19">
        <f t="shared" si="4"/>
        <v>8.3593629011302824</v>
      </c>
      <c r="X19" s="36" t="s">
        <v>197</v>
      </c>
      <c r="Y19">
        <f>L8-J8</f>
        <v>3.0229243486662281</v>
      </c>
    </row>
    <row r="20" spans="1:29" x14ac:dyDescent="0.25">
      <c r="A20" s="9">
        <v>13</v>
      </c>
      <c r="C20" s="9">
        <v>82</v>
      </c>
      <c r="D20" s="9">
        <v>77</v>
      </c>
      <c r="E20">
        <f>'Q2 Base'!F32</f>
        <v>6.8265000000000006E-2</v>
      </c>
      <c r="F20">
        <f>'Q2 Base'!G27</f>
        <v>3.8878999999999997E-2</v>
      </c>
      <c r="G20">
        <f t="shared" si="0"/>
        <v>0.93173499999999998</v>
      </c>
      <c r="H20">
        <f t="shared" si="0"/>
        <v>0.961121</v>
      </c>
      <c r="I20">
        <f t="shared" si="1"/>
        <v>0.89551007493500001</v>
      </c>
      <c r="J20">
        <f t="shared" si="3"/>
        <v>5.0776755466606103</v>
      </c>
      <c r="K20">
        <f t="shared" si="4"/>
        <v>6.2705012962588951</v>
      </c>
      <c r="L20">
        <f t="shared" si="4"/>
        <v>8.0125373118003296</v>
      </c>
      <c r="X20" s="36" t="s">
        <v>198</v>
      </c>
      <c r="Y20">
        <f>K8-J8</f>
        <v>1.4088302113626519</v>
      </c>
    </row>
    <row r="21" spans="1:29" x14ac:dyDescent="0.25">
      <c r="A21" s="9">
        <v>14</v>
      </c>
      <c r="C21" s="9">
        <v>83</v>
      </c>
      <c r="D21" s="9">
        <v>78</v>
      </c>
      <c r="E21">
        <f>'Q2 Base'!F33</f>
        <v>7.7331999999999998E-2</v>
      </c>
      <c r="F21">
        <f>'Q2 Base'!G28</f>
        <v>4.3215000000000003E-2</v>
      </c>
      <c r="G21">
        <f t="shared" si="0"/>
        <v>0.92266800000000004</v>
      </c>
      <c r="H21">
        <f t="shared" si="0"/>
        <v>0.956785</v>
      </c>
      <c r="I21">
        <f t="shared" si="1"/>
        <v>0.88279490238000002</v>
      </c>
      <c r="J21">
        <f t="shared" si="3"/>
        <v>4.7811403174938212</v>
      </c>
      <c r="K21">
        <f t="shared" si="4"/>
        <v>5.939485326913597</v>
      </c>
      <c r="L21">
        <f t="shared" si="4"/>
        <v>7.6610168515622341</v>
      </c>
      <c r="X21" s="36" t="s">
        <v>199</v>
      </c>
      <c r="Y21" s="40">
        <f>Y18*(Y19+Y20)*Y4*Y5</f>
        <v>18514.391321588238</v>
      </c>
    </row>
    <row r="22" spans="1:29" x14ac:dyDescent="0.25">
      <c r="A22" s="9">
        <v>15</v>
      </c>
      <c r="C22" s="9">
        <v>84</v>
      </c>
      <c r="D22" s="9">
        <v>79</v>
      </c>
      <c r="E22">
        <f>'Q2 Base'!F34</f>
        <v>8.6568999999999993E-2</v>
      </c>
      <c r="F22">
        <f>'Q2 Base'!G29</f>
        <v>4.7862000000000002E-2</v>
      </c>
      <c r="G22">
        <f t="shared" si="0"/>
        <v>0.91343099999999999</v>
      </c>
      <c r="H22">
        <f t="shared" si="0"/>
        <v>0.95213800000000004</v>
      </c>
      <c r="I22">
        <f t="shared" si="1"/>
        <v>0.86971236547800002</v>
      </c>
      <c r="J22">
        <f t="shared" si="3"/>
        <v>4.4973043259141257</v>
      </c>
      <c r="K22">
        <f t="shared" si="4"/>
        <v>5.6211547309100105</v>
      </c>
      <c r="L22">
        <f t="shared" si="4"/>
        <v>7.3099679595105966</v>
      </c>
    </row>
    <row r="23" spans="1:29" x14ac:dyDescent="0.25">
      <c r="A23" s="9">
        <v>16</v>
      </c>
      <c r="C23" s="9">
        <v>85</v>
      </c>
      <c r="D23" s="9">
        <v>80</v>
      </c>
      <c r="E23">
        <f>'Q2 Base'!F35</f>
        <v>9.6814999999999998E-2</v>
      </c>
      <c r="F23">
        <f>'Q2 Base'!G30</f>
        <v>5.4077E-2</v>
      </c>
      <c r="G23">
        <f t="shared" si="0"/>
        <v>0.90318500000000002</v>
      </c>
      <c r="H23">
        <f t="shared" si="0"/>
        <v>0.94592299999999996</v>
      </c>
      <c r="I23">
        <f t="shared" si="1"/>
        <v>0.854343464755</v>
      </c>
      <c r="J23">
        <f t="shared" si="3"/>
        <v>4.2222804779734062</v>
      </c>
      <c r="K23">
        <f t="shared" si="4"/>
        <v>5.3120733448454356</v>
      </c>
      <c r="L23">
        <f t="shared" si="4"/>
        <v>6.9585147924839958</v>
      </c>
      <c r="X23" s="36" t="s">
        <v>200</v>
      </c>
      <c r="Y23" s="7">
        <f>Y8+Y14+Y16+Y11+Y21</f>
        <v>154318.61415878363</v>
      </c>
    </row>
    <row r="24" spans="1:29" x14ac:dyDescent="0.25">
      <c r="A24" s="9">
        <v>17</v>
      </c>
      <c r="C24" s="9">
        <v>86</v>
      </c>
      <c r="D24" s="9">
        <v>81</v>
      </c>
      <c r="E24">
        <f>'Q2 Base'!F36</f>
        <v>0.108183</v>
      </c>
      <c r="F24">
        <f>'Q2 Base'!G31</f>
        <v>6.0177000000000001E-2</v>
      </c>
      <c r="G24">
        <f t="shared" si="0"/>
        <v>0.89181699999999997</v>
      </c>
      <c r="H24">
        <f t="shared" si="0"/>
        <v>0.93982299999999996</v>
      </c>
      <c r="I24">
        <f t="shared" si="1"/>
        <v>0.83815012839099989</v>
      </c>
      <c r="J24">
        <f t="shared" si="3"/>
        <v>3.960227521424692</v>
      </c>
      <c r="K24">
        <f t="shared" si="4"/>
        <v>5.0130117440919717</v>
      </c>
      <c r="L24">
        <f t="shared" si="4"/>
        <v>6.6141118591134758</v>
      </c>
    </row>
    <row r="25" spans="1:29" x14ac:dyDescent="0.25">
      <c r="A25" s="9">
        <v>18</v>
      </c>
      <c r="C25" s="9">
        <v>87</v>
      </c>
      <c r="D25" s="9">
        <v>82</v>
      </c>
      <c r="E25">
        <f>'Q2 Base'!F37</f>
        <v>0.12103700000000001</v>
      </c>
      <c r="F25">
        <f>'Q2 Base'!G32</f>
        <v>6.8209000000000006E-2</v>
      </c>
      <c r="G25">
        <f t="shared" si="0"/>
        <v>0.87896299999999994</v>
      </c>
      <c r="H25">
        <f t="shared" si="0"/>
        <v>0.93179100000000004</v>
      </c>
      <c r="I25">
        <f t="shared" si="1"/>
        <v>0.819009812733</v>
      </c>
      <c r="J25">
        <f t="shared" si="3"/>
        <v>3.7084512573693993</v>
      </c>
      <c r="K25">
        <f t="shared" si="4"/>
        <v>4.7248060210744702</v>
      </c>
      <c r="L25">
        <f t="shared" si="4"/>
        <v>6.2722634496805787</v>
      </c>
      <c r="X25" s="36" t="s">
        <v>234</v>
      </c>
      <c r="Y25">
        <f>PRODUCT('Q2 (i)'!I7:I41)</f>
        <v>0.81512312089371053</v>
      </c>
      <c r="Z25" s="11"/>
      <c r="AB25" s="45"/>
      <c r="AC25" s="44"/>
    </row>
    <row r="26" spans="1:29" x14ac:dyDescent="0.25">
      <c r="A26" s="9">
        <v>19</v>
      </c>
      <c r="C26" s="9">
        <v>88</v>
      </c>
      <c r="D26" s="9">
        <v>83</v>
      </c>
      <c r="E26">
        <f>'Q2 Base'!F38</f>
        <v>0.13539200000000001</v>
      </c>
      <c r="F26">
        <f>'Q2 Base'!G33</f>
        <v>7.7311000000000005E-2</v>
      </c>
      <c r="G26">
        <f t="shared" si="0"/>
        <v>0.86460800000000004</v>
      </c>
      <c r="H26">
        <f t="shared" si="0"/>
        <v>0.92268899999999998</v>
      </c>
      <c r="I26">
        <f t="shared" si="1"/>
        <v>0.79776429091200007</v>
      </c>
      <c r="J26">
        <f t="shared" si="3"/>
        <v>3.4723318036300284</v>
      </c>
      <c r="K26">
        <f t="shared" si="4"/>
        <v>4.4496142865265025</v>
      </c>
      <c r="L26">
        <f t="shared" si="4"/>
        <v>5.9411140718944564</v>
      </c>
      <c r="X26" s="36" t="s">
        <v>235</v>
      </c>
      <c r="Y26">
        <f>'Q2 (i)'!B41</f>
        <v>0.2534154707272902</v>
      </c>
      <c r="Z26" s="11"/>
      <c r="AB26" s="45"/>
      <c r="AC26" s="44"/>
    </row>
    <row r="27" spans="1:29" x14ac:dyDescent="0.25">
      <c r="A27" s="9">
        <v>20</v>
      </c>
      <c r="C27" s="9">
        <v>89</v>
      </c>
      <c r="D27" s="9">
        <v>84</v>
      </c>
      <c r="E27">
        <f>'Q2 Base'!F39</f>
        <v>0.149865</v>
      </c>
      <c r="F27">
        <f>'Q2 Base'!G34</f>
        <v>8.6525000000000005E-2</v>
      </c>
      <c r="G27">
        <f t="shared" si="0"/>
        <v>0.85013499999999997</v>
      </c>
      <c r="H27">
        <f t="shared" si="0"/>
        <v>0.91347500000000004</v>
      </c>
      <c r="I27">
        <f t="shared" si="1"/>
        <v>0.77657706912500002</v>
      </c>
      <c r="J27">
        <f t="shared" si="3"/>
        <v>3.2540293209211648</v>
      </c>
      <c r="K27">
        <f t="shared" si="4"/>
        <v>4.1892915643306878</v>
      </c>
      <c r="L27">
        <f t="shared" si="4"/>
        <v>5.6228802722143429</v>
      </c>
      <c r="Z27" s="11"/>
      <c r="AB27" s="45"/>
      <c r="AC27" s="44"/>
    </row>
    <row r="28" spans="1:29" x14ac:dyDescent="0.25">
      <c r="A28" s="9">
        <v>21</v>
      </c>
      <c r="C28" s="9">
        <v>90</v>
      </c>
      <c r="D28" s="9">
        <v>85</v>
      </c>
      <c r="E28">
        <f>'Q2 Base'!F40</f>
        <v>0.16759099999999999</v>
      </c>
      <c r="F28">
        <f>'Q2 Base'!G35</f>
        <v>9.6767000000000006E-2</v>
      </c>
      <c r="G28">
        <f t="shared" si="0"/>
        <v>0.83240899999999995</v>
      </c>
      <c r="H28">
        <f t="shared" si="0"/>
        <v>0.90323299999999995</v>
      </c>
      <c r="I28">
        <f t="shared" si="1"/>
        <v>0.75185927829699994</v>
      </c>
      <c r="J28">
        <f t="shared" si="3"/>
        <v>3.0476444400217897</v>
      </c>
      <c r="K28">
        <f t="shared" si="4"/>
        <v>3.9390874891014036</v>
      </c>
      <c r="L28">
        <f t="shared" si="4"/>
        <v>5.3138009095213992</v>
      </c>
      <c r="X28" s="36" t="s">
        <v>177</v>
      </c>
      <c r="Y28" s="40">
        <f>Y23*Y25*Y26</f>
        <v>31876.79511780008</v>
      </c>
      <c r="Z28" s="11"/>
      <c r="AB28" s="45"/>
      <c r="AC28" s="44"/>
    </row>
    <row r="29" spans="1:29" x14ac:dyDescent="0.25">
      <c r="A29" s="9">
        <v>22</v>
      </c>
      <c r="C29" s="9">
        <v>91</v>
      </c>
      <c r="D29" s="9">
        <v>86</v>
      </c>
      <c r="E29">
        <f>'Q2 Base'!F41</f>
        <v>0.184063</v>
      </c>
      <c r="F29">
        <f>'Q2 Base'!G36</f>
        <v>0.108129</v>
      </c>
      <c r="G29">
        <f t="shared" si="0"/>
        <v>0.81593700000000002</v>
      </c>
      <c r="H29">
        <f t="shared" si="0"/>
        <v>0.89187099999999997</v>
      </c>
      <c r="I29">
        <f t="shared" si="1"/>
        <v>0.72771054812699998</v>
      </c>
      <c r="J29">
        <f t="shared" si="3"/>
        <v>2.8596131271968876</v>
      </c>
      <c r="K29">
        <f t="shared" si="4"/>
        <v>3.7073624426891998</v>
      </c>
      <c r="L29">
        <f t="shared" si="4"/>
        <v>5.0147536183880241</v>
      </c>
      <c r="Z29" s="11"/>
      <c r="AB29" s="45"/>
      <c r="AC29" s="44"/>
    </row>
    <row r="30" spans="1:29" x14ac:dyDescent="0.25">
      <c r="A30" s="9">
        <v>23</v>
      </c>
      <c r="C30" s="9">
        <v>92</v>
      </c>
      <c r="D30" s="9">
        <v>87</v>
      </c>
      <c r="E30">
        <f>'Q2 Base'!F42</f>
        <v>0.19984499999999999</v>
      </c>
      <c r="F30">
        <f>'Q2 Base'!G37</f>
        <v>0.120977</v>
      </c>
      <c r="G30">
        <f t="shared" si="0"/>
        <v>0.80015499999999995</v>
      </c>
      <c r="H30">
        <f t="shared" si="0"/>
        <v>0.879023</v>
      </c>
      <c r="I30">
        <f t="shared" si="1"/>
        <v>0.70335464856499996</v>
      </c>
      <c r="J30">
        <f t="shared" si="3"/>
        <v>2.6832011554351767</v>
      </c>
      <c r="K30">
        <f t="shared" si="4"/>
        <v>3.4840074231511253</v>
      </c>
      <c r="L30">
        <f t="shared" si="4"/>
        <v>4.7265706579846469</v>
      </c>
      <c r="Z30" s="11"/>
      <c r="AB30" s="45"/>
      <c r="AC30" s="44"/>
    </row>
    <row r="31" spans="1:29" x14ac:dyDescent="0.25">
      <c r="A31" s="9">
        <v>24</v>
      </c>
      <c r="C31" s="9">
        <v>93</v>
      </c>
      <c r="D31" s="9">
        <v>88</v>
      </c>
      <c r="E31">
        <f>'Q2 Base'!F43</f>
        <v>0.21992200000000001</v>
      </c>
      <c r="F31">
        <f>'Q2 Base'!G38</f>
        <v>0.135324</v>
      </c>
      <c r="G31">
        <f t="shared" si="0"/>
        <v>0.78007800000000005</v>
      </c>
      <c r="H31">
        <f t="shared" si="0"/>
        <v>0.864676</v>
      </c>
      <c r="I31">
        <f t="shared" si="1"/>
        <v>0.674514724728</v>
      </c>
      <c r="J31">
        <f t="shared" si="3"/>
        <v>2.5127596964244794</v>
      </c>
      <c r="K31">
        <f t="shared" si="4"/>
        <v>3.2596281899240545</v>
      </c>
      <c r="L31">
        <f t="shared" si="4"/>
        <v>4.4514184394309124</v>
      </c>
      <c r="Z31" s="11"/>
      <c r="AB31" s="45"/>
      <c r="AC31" s="44"/>
    </row>
    <row r="32" spans="1:29" x14ac:dyDescent="0.25">
      <c r="A32" s="9">
        <v>25</v>
      </c>
      <c r="C32" s="9">
        <v>94</v>
      </c>
      <c r="D32" s="9">
        <v>89</v>
      </c>
      <c r="E32">
        <f>'Q2 Base'!F44</f>
        <v>0.24093600000000001</v>
      </c>
      <c r="F32">
        <f>'Q2 Base'!G39</f>
        <v>0.149787</v>
      </c>
      <c r="G32">
        <f t="shared" si="0"/>
        <v>0.75906399999999996</v>
      </c>
      <c r="H32">
        <f t="shared" si="0"/>
        <v>0.850213</v>
      </c>
      <c r="I32">
        <f t="shared" si="1"/>
        <v>0.64536608063199996</v>
      </c>
      <c r="J32">
        <f t="shared" si="3"/>
        <v>2.3548747314393017</v>
      </c>
      <c r="K32">
        <f t="shared" si="4"/>
        <v>3.0415030284410753</v>
      </c>
      <c r="L32">
        <f t="shared" si="4"/>
        <v>4.1911529421453331</v>
      </c>
      <c r="Z32" s="11"/>
      <c r="AB32" s="45"/>
      <c r="AC32" s="44"/>
    </row>
    <row r="33" spans="1:29" x14ac:dyDescent="0.25">
      <c r="A33" s="9">
        <v>26</v>
      </c>
      <c r="C33" s="9">
        <v>95</v>
      </c>
      <c r="D33" s="9">
        <v>90</v>
      </c>
      <c r="E33">
        <f>'Q2 Base'!F45</f>
        <v>0.26672299999999999</v>
      </c>
      <c r="F33">
        <f>'Q2 Base'!G40</f>
        <v>0.16749900000000001</v>
      </c>
      <c r="G33">
        <f t="shared" si="0"/>
        <v>0.73327699999999996</v>
      </c>
      <c r="H33">
        <f t="shared" si="0"/>
        <v>0.83250099999999994</v>
      </c>
      <c r="I33">
        <f t="shared" si="1"/>
        <v>0.61045383577699996</v>
      </c>
      <c r="J33">
        <f t="shared" si="3"/>
        <v>2.2043589068364295</v>
      </c>
      <c r="K33">
        <f t="shared" si="4"/>
        <v>2.8239755539231597</v>
      </c>
      <c r="L33">
        <f t="shared" si="4"/>
        <v>3.9410248834734354</v>
      </c>
      <c r="Z33" s="11"/>
      <c r="AB33" s="45"/>
      <c r="AC33" s="44"/>
    </row>
    <row r="34" spans="1:29" x14ac:dyDescent="0.25">
      <c r="A34" s="9">
        <v>27</v>
      </c>
      <c r="C34" s="9">
        <v>96</v>
      </c>
      <c r="D34" s="9">
        <v>91</v>
      </c>
      <c r="E34">
        <f>'Q2 Base'!F46</f>
        <v>0.28633399999999998</v>
      </c>
      <c r="F34">
        <f>'Q2 Base'!G41</f>
        <v>0.183952</v>
      </c>
      <c r="G34">
        <f t="shared" si="0"/>
        <v>0.71366600000000002</v>
      </c>
      <c r="H34">
        <f t="shared" si="0"/>
        <v>0.816048</v>
      </c>
      <c r="I34">
        <f t="shared" si="1"/>
        <v>0.58238571196800004</v>
      </c>
      <c r="J34">
        <f t="shared" si="3"/>
        <v>2.0715355987052941</v>
      </c>
      <c r="K34">
        <f t="shared" si="4"/>
        <v>2.6118019951796088</v>
      </c>
      <c r="L34">
        <f t="shared" si="4"/>
        <v>3.7093962981991702</v>
      </c>
      <c r="Z34" s="11"/>
      <c r="AB34" s="45"/>
      <c r="AC34" s="44"/>
    </row>
    <row r="35" spans="1:29" x14ac:dyDescent="0.25">
      <c r="A35" s="9">
        <v>28</v>
      </c>
      <c r="C35" s="9">
        <v>97</v>
      </c>
      <c r="D35" s="9">
        <v>92</v>
      </c>
      <c r="E35">
        <f>'Q2 Base'!F47</f>
        <v>0.30397099999999999</v>
      </c>
      <c r="F35">
        <f>'Q2 Base'!G42</f>
        <v>0.199708</v>
      </c>
      <c r="G35">
        <f t="shared" si="0"/>
        <v>0.69602900000000001</v>
      </c>
      <c r="H35">
        <f t="shared" si="0"/>
        <v>0.800292</v>
      </c>
      <c r="I35">
        <f t="shared" si="1"/>
        <v>0.55702644046799998</v>
      </c>
      <c r="J35">
        <f t="shared" si="3"/>
        <v>1.9319024411477654</v>
      </c>
      <c r="K35">
        <f t="shared" si="4"/>
        <v>2.3714063650763655</v>
      </c>
      <c r="L35">
        <f t="shared" si="4"/>
        <v>3.4861504630966915</v>
      </c>
      <c r="AB35" s="45"/>
      <c r="AC35" s="44"/>
    </row>
    <row r="36" spans="1:29" x14ac:dyDescent="0.25">
      <c r="A36" s="9">
        <v>29</v>
      </c>
      <c r="C36" s="9">
        <v>98</v>
      </c>
      <c r="D36" s="9">
        <v>93</v>
      </c>
      <c r="E36">
        <f>'Q2 Base'!F48</f>
        <v>0.30996899999999999</v>
      </c>
      <c r="F36">
        <f>'Q2 Base'!G43</f>
        <v>0.219752</v>
      </c>
      <c r="G36">
        <f t="shared" si="0"/>
        <v>0.69003100000000006</v>
      </c>
      <c r="H36">
        <f t="shared" si="0"/>
        <v>0.78024800000000005</v>
      </c>
      <c r="I36">
        <f t="shared" si="1"/>
        <v>0.53839530768800004</v>
      </c>
      <c r="J36">
        <f t="shared" si="3"/>
        <v>1.7566447337455724</v>
      </c>
      <c r="K36">
        <f t="shared" si="4"/>
        <v>2.0688458143700679</v>
      </c>
      <c r="L36">
        <f t="shared" si="4"/>
        <v>3.2618818959223956</v>
      </c>
      <c r="AB36" s="45"/>
      <c r="AC36" s="44"/>
    </row>
    <row r="37" spans="1:29" x14ac:dyDescent="0.25">
      <c r="A37" s="9">
        <v>30</v>
      </c>
      <c r="C37" s="9">
        <v>99</v>
      </c>
      <c r="D37" s="9">
        <v>94</v>
      </c>
      <c r="E37">
        <f>'Q2 Base'!F49</f>
        <v>0.34224700000000002</v>
      </c>
      <c r="F37">
        <f>'Q2 Base'!G44</f>
        <v>0.24071699999999999</v>
      </c>
      <c r="G37">
        <f t="shared" si="0"/>
        <v>0.65775300000000003</v>
      </c>
      <c r="H37">
        <f t="shared" si="0"/>
        <v>0.75928300000000004</v>
      </c>
      <c r="I37">
        <f t="shared" si="1"/>
        <v>0.49942067109900007</v>
      </c>
      <c r="J37">
        <f t="shared" si="3"/>
        <v>1.4756387343799999</v>
      </c>
      <c r="K37">
        <f>1+K38*G37*$B$3</f>
        <v>1.6264314285714285</v>
      </c>
      <c r="L37">
        <f t="shared" ref="L37:L43" si="5">1+L38*H37*$B$3</f>
        <v>3.0438732181543759</v>
      </c>
      <c r="AB37" s="45"/>
      <c r="AC37" s="44"/>
    </row>
    <row r="38" spans="1:29" x14ac:dyDescent="0.25">
      <c r="A38" s="9">
        <v>31</v>
      </c>
      <c r="C38" s="9">
        <v>100</v>
      </c>
      <c r="D38" s="9">
        <v>95</v>
      </c>
      <c r="E38">
        <f>'Q2 Base'!F50</f>
        <v>1</v>
      </c>
      <c r="F38">
        <f>'Q2 Base'!G45</f>
        <v>0.26643499999999998</v>
      </c>
      <c r="G38">
        <f t="shared" si="0"/>
        <v>0</v>
      </c>
      <c r="H38">
        <f t="shared" si="0"/>
        <v>0.73356500000000002</v>
      </c>
      <c r="I38">
        <f t="shared" si="1"/>
        <v>0</v>
      </c>
      <c r="J38">
        <f>1+J39*I38*$B$3</f>
        <v>1</v>
      </c>
      <c r="K38">
        <f>1+K39*G38*$B$3</f>
        <v>1</v>
      </c>
      <c r="L38">
        <f t="shared" si="5"/>
        <v>2.8264387310951187</v>
      </c>
      <c r="AB38" s="45"/>
      <c r="AC38" s="44"/>
    </row>
    <row r="39" spans="1:29" x14ac:dyDescent="0.25">
      <c r="A39" s="9">
        <v>32</v>
      </c>
      <c r="C39" s="9">
        <v>101</v>
      </c>
      <c r="D39" s="9">
        <v>96</v>
      </c>
      <c r="E39">
        <f>'Q2 Base'!F51</f>
        <v>0</v>
      </c>
      <c r="F39">
        <f>'Q2 Base'!G46</f>
        <v>0.285941</v>
      </c>
      <c r="G39">
        <f t="shared" si="0"/>
        <v>1</v>
      </c>
      <c r="H39">
        <f t="shared" si="0"/>
        <v>0.714059</v>
      </c>
      <c r="I39">
        <f t="shared" si="1"/>
        <v>0.714059</v>
      </c>
      <c r="L39">
        <f t="shared" si="5"/>
        <v>2.614302301295556</v>
      </c>
    </row>
    <row r="40" spans="1:29" x14ac:dyDescent="0.25">
      <c r="A40" s="9">
        <v>33</v>
      </c>
      <c r="C40" s="9">
        <v>102</v>
      </c>
      <c r="D40" s="9">
        <v>97</v>
      </c>
      <c r="E40">
        <f>'Q2 Base'!F52</f>
        <v>0</v>
      </c>
      <c r="F40">
        <f>'Q2 Base'!G47</f>
        <v>0.303421</v>
      </c>
      <c r="G40">
        <f t="shared" si="0"/>
        <v>1</v>
      </c>
      <c r="H40">
        <f t="shared" si="0"/>
        <v>0.69657900000000006</v>
      </c>
      <c r="I40">
        <f t="shared" si="1"/>
        <v>0.69657900000000006</v>
      </c>
      <c r="L40">
        <f t="shared" si="5"/>
        <v>2.3737778199845305</v>
      </c>
    </row>
    <row r="41" spans="1:29" x14ac:dyDescent="0.25">
      <c r="A41" s="9">
        <v>34</v>
      </c>
      <c r="C41" s="9">
        <v>103</v>
      </c>
      <c r="D41" s="9">
        <v>98</v>
      </c>
      <c r="E41">
        <f>'Q2 Base'!F53</f>
        <v>0</v>
      </c>
      <c r="F41">
        <f>'Q2 Base'!G48</f>
        <v>0.30917899999999998</v>
      </c>
      <c r="G41">
        <f t="shared" si="0"/>
        <v>1</v>
      </c>
      <c r="H41">
        <f t="shared" si="0"/>
        <v>0.69082100000000002</v>
      </c>
      <c r="I41">
        <f t="shared" si="1"/>
        <v>0.69082100000000002</v>
      </c>
      <c r="L41">
        <f t="shared" si="5"/>
        <v>2.0707869616852603</v>
      </c>
    </row>
    <row r="42" spans="1:29" x14ac:dyDescent="0.25">
      <c r="A42" s="9">
        <v>35</v>
      </c>
      <c r="C42" s="9">
        <v>104</v>
      </c>
      <c r="D42" s="9">
        <v>99</v>
      </c>
      <c r="E42">
        <f>'Q2 Base'!F54</f>
        <v>0</v>
      </c>
      <c r="F42">
        <f>'Q2 Base'!G49</f>
        <v>0.34110200000000002</v>
      </c>
      <c r="G42">
        <f t="shared" si="0"/>
        <v>1</v>
      </c>
      <c r="H42">
        <f t="shared" si="0"/>
        <v>0.65889799999999998</v>
      </c>
      <c r="I42">
        <f t="shared" si="1"/>
        <v>0.65889799999999998</v>
      </c>
      <c r="L42">
        <f t="shared" si="5"/>
        <v>1.6275219047619047</v>
      </c>
    </row>
    <row r="43" spans="1:29" x14ac:dyDescent="0.25">
      <c r="A43" s="9">
        <v>36</v>
      </c>
      <c r="C43" s="9">
        <v>105</v>
      </c>
      <c r="D43" s="9">
        <v>100</v>
      </c>
      <c r="E43">
        <f>'Q2 Base'!F55</f>
        <v>0</v>
      </c>
      <c r="F43">
        <f>'Q2 Base'!G50</f>
        <v>1</v>
      </c>
      <c r="G43">
        <f t="shared" si="0"/>
        <v>1</v>
      </c>
      <c r="H43">
        <f t="shared" si="0"/>
        <v>0</v>
      </c>
      <c r="I43">
        <f t="shared" si="1"/>
        <v>0</v>
      </c>
      <c r="L43">
        <f t="shared" si="5"/>
        <v>1</v>
      </c>
    </row>
    <row r="44" spans="1:29" x14ac:dyDescent="0.25">
      <c r="C44" s="9"/>
      <c r="D44" s="9"/>
    </row>
    <row r="45" spans="1:29" x14ac:dyDescent="0.25">
      <c r="C45" s="9"/>
      <c r="D45" s="9"/>
    </row>
    <row r="46" spans="1:29" x14ac:dyDescent="0.25">
      <c r="C46" s="9"/>
      <c r="D46" s="9"/>
    </row>
    <row r="47" spans="1:29" x14ac:dyDescent="0.25">
      <c r="C47" s="9"/>
      <c r="D47" s="9"/>
    </row>
    <row r="48" spans="1:29" x14ac:dyDescent="0.25">
      <c r="C48" s="9"/>
      <c r="D48" s="9"/>
    </row>
  </sheetData>
  <mergeCells count="2">
    <mergeCell ref="E1:F1"/>
    <mergeCell ref="G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A264E-707C-4553-9C1D-D60A65433F47}">
  <dimension ref="B2:Q12"/>
  <sheetViews>
    <sheetView workbookViewId="0">
      <selection activeCell="B6" sqref="B6"/>
    </sheetView>
  </sheetViews>
  <sheetFormatPr defaultRowHeight="15" x14ac:dyDescent="0.25"/>
  <sheetData>
    <row r="2" spans="2:17" x14ac:dyDescent="0.25">
      <c r="B2" t="s">
        <v>185</v>
      </c>
      <c r="O2" s="34"/>
    </row>
    <row r="3" spans="2:17" x14ac:dyDescent="0.25">
      <c r="B3" t="s">
        <v>178</v>
      </c>
      <c r="O3" s="10"/>
    </row>
    <row r="4" spans="2:17" x14ac:dyDescent="0.25">
      <c r="B4" t="s">
        <v>179</v>
      </c>
      <c r="Q4" s="34" t="s">
        <v>7</v>
      </c>
    </row>
    <row r="5" spans="2:17" x14ac:dyDescent="0.25">
      <c r="B5" t="s">
        <v>180</v>
      </c>
      <c r="Q5" s="34" t="s">
        <v>7</v>
      </c>
    </row>
    <row r="6" spans="2:17" x14ac:dyDescent="0.25">
      <c r="B6" t="s">
        <v>181</v>
      </c>
      <c r="Q6" s="34" t="s">
        <v>7</v>
      </c>
    </row>
    <row r="7" spans="2:17" x14ac:dyDescent="0.25">
      <c r="Q7" s="10"/>
    </row>
    <row r="8" spans="2:17" x14ac:dyDescent="0.25">
      <c r="B8" t="s">
        <v>187</v>
      </c>
      <c r="Q8" s="34" t="s">
        <v>7</v>
      </c>
    </row>
    <row r="9" spans="2:17" x14ac:dyDescent="0.25">
      <c r="B9" t="s">
        <v>189</v>
      </c>
      <c r="Q9" s="34" t="s">
        <v>7</v>
      </c>
    </row>
    <row r="10" spans="2:17" x14ac:dyDescent="0.25">
      <c r="B10" t="s">
        <v>182</v>
      </c>
      <c r="Q10" s="34" t="s">
        <v>7</v>
      </c>
    </row>
    <row r="11" spans="2:17" x14ac:dyDescent="0.25">
      <c r="Q11" s="10"/>
    </row>
    <row r="12" spans="2:17" x14ac:dyDescent="0.25">
      <c r="Q12" s="34" t="s">
        <v>186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528D0-8D9E-4853-9EC0-F9AD294053D8}">
  <dimension ref="A1:D6"/>
  <sheetViews>
    <sheetView workbookViewId="0"/>
  </sheetViews>
  <sheetFormatPr defaultRowHeight="15" x14ac:dyDescent="0.25"/>
  <cols>
    <col min="3" max="3" width="9.5703125" bestFit="1" customWidth="1"/>
    <col min="4" max="4" width="10.5703125" bestFit="1" customWidth="1"/>
  </cols>
  <sheetData>
    <row r="1" spans="1:4" x14ac:dyDescent="0.25">
      <c r="A1" s="4" t="s">
        <v>3</v>
      </c>
    </row>
    <row r="2" spans="1:4" x14ac:dyDescent="0.25">
      <c r="A2" s="7" t="s">
        <v>167</v>
      </c>
      <c r="C2" s="7">
        <f>'Q2 (i)'!O8</f>
        <v>7391.966734558092</v>
      </c>
    </row>
    <row r="3" spans="1:4" x14ac:dyDescent="0.25">
      <c r="A3" s="4" t="s">
        <v>4</v>
      </c>
    </row>
    <row r="4" spans="1:4" x14ac:dyDescent="0.25">
      <c r="A4" s="22" t="s">
        <v>177</v>
      </c>
      <c r="D4" s="7">
        <f>'Q2 (ii)'!X16</f>
        <v>31876.795117800066</v>
      </c>
    </row>
    <row r="5" spans="1:4" x14ac:dyDescent="0.25">
      <c r="A5" s="4" t="s">
        <v>5</v>
      </c>
    </row>
    <row r="6" spans="1:4" x14ac:dyDescent="0.25">
      <c r="A6" t="s">
        <v>233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aa852b2ffe6255ffcdb371b7b4d22aaa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dba13c9a8cfc53c76434e97400f4013b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77290B-2C2B-4738-A37A-79E7A820E41D}">
  <ds:schemaRefs>
    <ds:schemaRef ds:uri="http://schemas.microsoft.com/office/2006/documentManagement/types"/>
    <ds:schemaRef ds:uri="http://schemas.microsoft.com/office/2006/metadata/properties"/>
    <ds:schemaRef ds:uri="e0a82e4c-fab7-409b-9177-d9582bcd9bf0"/>
    <ds:schemaRef ds:uri="cfdab824-e670-41f2-a5ee-7d4504103506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D0E17C-70F9-443F-889F-33F369FC9F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ACEB1A-8CFF-4F52-9A97-2D05FFF31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ab824-e670-41f2-a5ee-7d4504103506"/>
    <ds:schemaRef ds:uri="e0a82e4c-fab7-409b-9177-d9582bcd9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Q1 Base</vt:lpstr>
      <vt:lpstr>Q1 (i)(ii)(iii)(iv)</vt:lpstr>
      <vt:lpstr>Q1 Answers</vt:lpstr>
      <vt:lpstr>Q2 Base</vt:lpstr>
      <vt:lpstr>Q2 (i)</vt:lpstr>
      <vt:lpstr>Q2 (ii)</vt:lpstr>
      <vt:lpstr>Q2 (ii) Alternative</vt:lpstr>
      <vt:lpstr>Q2 (iii)</vt:lpstr>
      <vt:lpstr>Q2 Answers</vt:lpstr>
      <vt:lpstr>Q3 Base</vt:lpstr>
      <vt:lpstr>Q3 (i)</vt:lpstr>
      <vt:lpstr>Q3 (ii)</vt:lpstr>
      <vt:lpstr>Q3 (iii)</vt:lpstr>
      <vt:lpstr>Q3 (iv)</vt:lpstr>
      <vt:lpstr>Q3 Answers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Karidza</dc:creator>
  <cp:lastModifiedBy>Rosie Brooks</cp:lastModifiedBy>
  <dcterms:created xsi:type="dcterms:W3CDTF">2015-06-05T18:17:20Z</dcterms:created>
  <dcterms:modified xsi:type="dcterms:W3CDTF">2025-12-04T09:55:49Z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  <property fmtid="{D5CDD505-2E9C-101B-9397-08002B2CF9AE}" pid="3" name="MediaServiceImageTags">
    <vt:lpwstr/>
  </property>
</Properties>
</file>