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F8729711-4A80-414E-9775-609D141F9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Test Assumptions" sheetId="8" r:id="rId1"/>
    <sheet name="Mortality" sheetId="1" r:id="rId2"/>
    <sheet name="i" sheetId="7" r:id="rId3"/>
    <sheet name="ii" sheetId="2" r:id="rId4"/>
    <sheet name="iii" sheetId="6" r:id="rId5"/>
    <sheet name="Answers" sheetId="5" r:id="rId6"/>
  </sheets>
  <definedNames>
    <definedName name="Claim_expense">'Profit Test Assumptions'!$B$20</definedName>
    <definedName name="Initial_commission">'Profit Test Assumptions'!$B$17</definedName>
    <definedName name="Initial_expense">'Profit Test Assumptions'!$B$14</definedName>
    <definedName name="Mortality">'Profit Test Assumptions'!$B$7</definedName>
    <definedName name="NUF_Interest_rate">'Profit Test Assumptions'!$B$5</definedName>
    <definedName name="Renewal_commission">'Profit Test Assumptions'!$B$18</definedName>
    <definedName name="Renewal_expense">'Profit Test Assumptions'!$B$15</definedName>
    <definedName name="Risk_discount_rate">'Profit Test Assumptions'!$B$22</definedName>
    <definedName name="solver_adj" localSheetId="4" hidden="1">iii!$W$4</definedName>
    <definedName name="solver_cvg" localSheetId="4" hidden="1">0.0001</definedName>
    <definedName name="solver_drv" localSheetId="4" hidden="1">1</definedName>
    <definedName name="solver_est" localSheetId="4" hidden="1">1</definedName>
    <definedName name="solver_itr" localSheetId="4" hidden="1">100</definedName>
    <definedName name="solver_lin" localSheetId="4" hidden="1">2</definedName>
    <definedName name="solver_neg" localSheetId="4" hidden="1">2</definedName>
    <definedName name="solver_num" localSheetId="4" hidden="1">0</definedName>
    <definedName name="solver_nwt" localSheetId="4" hidden="1">1</definedName>
    <definedName name="solver_opt" localSheetId="4" hidden="1">iii!$AH$8</definedName>
    <definedName name="solver_pre" localSheetId="4" hidden="1">0.000001</definedName>
    <definedName name="solver_scl" localSheetId="4" hidden="1">2</definedName>
    <definedName name="solver_sho" localSheetId="4" hidden="1">2</definedName>
    <definedName name="solver_tim" localSheetId="4" hidden="1">100</definedName>
    <definedName name="solver_tol" localSheetId="4" hidden="1">0.05</definedName>
    <definedName name="solver_typ" localSheetId="4" hidden="1">3</definedName>
    <definedName name="solver_val" localSheetId="4" hidden="1">0.024581</definedName>
    <definedName name="Surrender_year_1">'Profit Test Assumptions'!$B$9</definedName>
    <definedName name="Surrender_year_2">'Profit Test Assumptions'!$B$10</definedName>
    <definedName name="Surrender_year_3_24">'Profit Test Assumptions'!$B$11</definedName>
    <definedName name="UF_Growth_Rate">'Profit Test Assumptions'!$B$4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2" l="1"/>
  <c r="Z9" i="2"/>
  <c r="Z10" i="2"/>
  <c r="Z11" i="2"/>
  <c r="Z32" i="2" l="1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AA32" i="6" l="1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V32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Q8" i="6"/>
  <c r="P13" i="6"/>
  <c r="P12" i="6"/>
  <c r="P11" i="6"/>
  <c r="P10" i="6"/>
  <c r="P9" i="6"/>
  <c r="O8" i="6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A32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U8" i="2"/>
  <c r="T13" i="2"/>
  <c r="T12" i="2"/>
  <c r="T11" i="2"/>
  <c r="T10" i="2"/>
  <c r="T9" i="2"/>
  <c r="S8" i="2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AC8" i="6" l="1"/>
  <c r="AG8" i="2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D17" i="7" l="1"/>
  <c r="E17" i="7" s="1"/>
  <c r="H17" i="7" s="1"/>
  <c r="K17" i="6" s="1"/>
  <c r="D21" i="7"/>
  <c r="E21" i="7" s="1"/>
  <c r="D25" i="7"/>
  <c r="E25" i="7" s="1"/>
  <c r="G25" i="7" s="1"/>
  <c r="D29" i="7"/>
  <c r="E29" i="7" s="1"/>
  <c r="G29" i="7" s="1"/>
  <c r="D9" i="7"/>
  <c r="E9" i="7" s="1"/>
  <c r="G9" i="7" s="1"/>
  <c r="D13" i="7"/>
  <c r="E13" i="7" s="1"/>
  <c r="G13" i="7" s="1"/>
  <c r="D32" i="7"/>
  <c r="E32" i="7" s="1"/>
  <c r="G32" i="7" s="1"/>
  <c r="D28" i="7"/>
  <c r="E28" i="7" s="1"/>
  <c r="H28" i="7" s="1"/>
  <c r="K28" i="6" s="1"/>
  <c r="D19" i="7"/>
  <c r="E19" i="7" s="1"/>
  <c r="H19" i="7" s="1"/>
  <c r="K19" i="6" s="1"/>
  <c r="D16" i="7"/>
  <c r="E16" i="7" s="1"/>
  <c r="D20" i="7"/>
  <c r="E20" i="7" s="1"/>
  <c r="H20" i="7" s="1"/>
  <c r="K20" i="6" s="1"/>
  <c r="D23" i="7"/>
  <c r="E23" i="7" s="1"/>
  <c r="H23" i="7" s="1"/>
  <c r="K23" i="6" s="1"/>
  <c r="D31" i="7"/>
  <c r="E31" i="7" s="1"/>
  <c r="H31" i="7" s="1"/>
  <c r="K31" i="6" s="1"/>
  <c r="D11" i="7"/>
  <c r="E11" i="7" s="1"/>
  <c r="G11" i="7" s="1"/>
  <c r="D15" i="7"/>
  <c r="E15" i="7" s="1"/>
  <c r="G15" i="7" s="1"/>
  <c r="D24" i="7"/>
  <c r="E24" i="7" s="1"/>
  <c r="G24" i="7" s="1"/>
  <c r="D27" i="7"/>
  <c r="E27" i="7" s="1"/>
  <c r="H27" i="7" s="1"/>
  <c r="K27" i="6" s="1"/>
  <c r="D10" i="7"/>
  <c r="D14" i="7"/>
  <c r="D22" i="7"/>
  <c r="E22" i="7" s="1"/>
  <c r="H22" i="7" s="1"/>
  <c r="K22" i="6" s="1"/>
  <c r="D30" i="7"/>
  <c r="D8" i="7"/>
  <c r="D12" i="7"/>
  <c r="D18" i="7"/>
  <c r="E18" i="7" s="1"/>
  <c r="G18" i="7" s="1"/>
  <c r="D26" i="7"/>
  <c r="H11" i="7"/>
  <c r="K11" i="6" s="1"/>
  <c r="H16" i="7"/>
  <c r="K16" i="6" s="1"/>
  <c r="G16" i="7"/>
  <c r="G17" i="7"/>
  <c r="H25" i="7"/>
  <c r="K25" i="6" s="1"/>
  <c r="H32" i="7"/>
  <c r="K32" i="6" s="1"/>
  <c r="G20" i="7"/>
  <c r="H9" i="7"/>
  <c r="K9" i="6" s="1"/>
  <c r="H13" i="7"/>
  <c r="K13" i="6" s="1"/>
  <c r="G21" i="7"/>
  <c r="H21" i="7"/>
  <c r="K21" i="6" s="1"/>
  <c r="H29" i="7"/>
  <c r="K29" i="6" s="1"/>
  <c r="H24" i="7"/>
  <c r="K24" i="6" s="1"/>
  <c r="E14" i="6"/>
  <c r="P14" i="6" s="1"/>
  <c r="N13" i="6"/>
  <c r="S13" i="6" s="1"/>
  <c r="N12" i="6"/>
  <c r="S12" i="6" s="1"/>
  <c r="N11" i="6"/>
  <c r="S11" i="6" s="1"/>
  <c r="N10" i="6"/>
  <c r="S10" i="6" s="1"/>
  <c r="N9" i="6"/>
  <c r="S9" i="6" s="1"/>
  <c r="AI8" i="6"/>
  <c r="AD8" i="6"/>
  <c r="N8" i="6"/>
  <c r="S8" i="6" s="1"/>
  <c r="F8" i="6"/>
  <c r="G8" i="6" s="1"/>
  <c r="AH8" i="2"/>
  <c r="F13" i="2"/>
  <c r="Q13" i="2" s="1"/>
  <c r="F12" i="2"/>
  <c r="Q12" i="2" s="1"/>
  <c r="F11" i="2"/>
  <c r="Q11" i="2" s="1"/>
  <c r="F10" i="2"/>
  <c r="Q10" i="2" s="1"/>
  <c r="F9" i="2"/>
  <c r="Q9" i="2" s="1"/>
  <c r="F8" i="2"/>
  <c r="D14" i="2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C14" i="2"/>
  <c r="T14" i="2" s="1"/>
  <c r="G23" i="7" l="1"/>
  <c r="H15" i="7"/>
  <c r="K15" i="6" s="1"/>
  <c r="G28" i="7"/>
  <c r="M28" i="2" s="1"/>
  <c r="G27" i="7"/>
  <c r="I27" i="7" s="1"/>
  <c r="G31" i="7"/>
  <c r="I31" i="7" s="1"/>
  <c r="G19" i="7"/>
  <c r="J19" i="6" s="1"/>
  <c r="M24" i="2"/>
  <c r="J24" i="6"/>
  <c r="G22" i="7"/>
  <c r="I22" i="7" s="1"/>
  <c r="M9" i="2"/>
  <c r="J9" i="6"/>
  <c r="H18" i="7"/>
  <c r="K18" i="6" s="1"/>
  <c r="M25" i="2"/>
  <c r="J25" i="6"/>
  <c r="J15" i="6"/>
  <c r="M15" i="2"/>
  <c r="M16" i="2"/>
  <c r="J16" i="6"/>
  <c r="M31" i="2"/>
  <c r="M29" i="2"/>
  <c r="J29" i="6"/>
  <c r="M21" i="2"/>
  <c r="J21" i="6"/>
  <c r="M32" i="2"/>
  <c r="J32" i="6"/>
  <c r="J11" i="6"/>
  <c r="M11" i="2"/>
  <c r="J23" i="6"/>
  <c r="M23" i="2"/>
  <c r="M13" i="2"/>
  <c r="J13" i="6"/>
  <c r="J18" i="6"/>
  <c r="M18" i="2"/>
  <c r="J28" i="6"/>
  <c r="M20" i="2"/>
  <c r="J20" i="6"/>
  <c r="M17" i="2"/>
  <c r="J17" i="6"/>
  <c r="G9" i="2"/>
  <c r="R9" i="2" s="1"/>
  <c r="W9" i="2" s="1"/>
  <c r="G10" i="2"/>
  <c r="R10" i="2" s="1"/>
  <c r="W10" i="2" s="1"/>
  <c r="E8" i="7"/>
  <c r="G8" i="7" s="1"/>
  <c r="E10" i="7"/>
  <c r="G10" i="7" s="1"/>
  <c r="E12" i="7"/>
  <c r="H12" i="7" s="1"/>
  <c r="K12" i="6" s="1"/>
  <c r="E14" i="7"/>
  <c r="G14" i="7" s="1"/>
  <c r="E26" i="7"/>
  <c r="G26" i="7" s="1"/>
  <c r="E30" i="7"/>
  <c r="H30" i="7" s="1"/>
  <c r="I16" i="7"/>
  <c r="I9" i="7"/>
  <c r="I32" i="7"/>
  <c r="I11" i="7"/>
  <c r="I28" i="7"/>
  <c r="I20" i="7"/>
  <c r="C15" i="2"/>
  <c r="T15" i="2" s="1"/>
  <c r="G12" i="2"/>
  <c r="R12" i="2" s="1"/>
  <c r="W12" i="2" s="1"/>
  <c r="E15" i="6"/>
  <c r="P15" i="6" s="1"/>
  <c r="I24" i="7"/>
  <c r="I23" i="7"/>
  <c r="I15" i="7"/>
  <c r="I13" i="7"/>
  <c r="I17" i="7"/>
  <c r="I29" i="7"/>
  <c r="I21" i="7"/>
  <c r="I19" i="7"/>
  <c r="I25" i="7"/>
  <c r="G11" i="2"/>
  <c r="R11" i="2" s="1"/>
  <c r="W11" i="2" s="1"/>
  <c r="G13" i="2"/>
  <c r="R13" i="2" s="1"/>
  <c r="W13" i="2" s="1"/>
  <c r="F14" i="2"/>
  <c r="D9" i="6"/>
  <c r="N14" i="6"/>
  <c r="S14" i="6" s="1"/>
  <c r="G8" i="2"/>
  <c r="H8" i="2" s="1"/>
  <c r="Q8" i="2"/>
  <c r="M19" i="2" l="1"/>
  <c r="J27" i="6"/>
  <c r="M27" i="2"/>
  <c r="I18" i="7"/>
  <c r="N18" i="2" s="1"/>
  <c r="AA18" i="2" s="1"/>
  <c r="J31" i="6"/>
  <c r="G30" i="7"/>
  <c r="M30" i="2" s="1"/>
  <c r="H8" i="7"/>
  <c r="K8" i="6" s="1"/>
  <c r="U8" i="6" s="1"/>
  <c r="N22" i="2"/>
  <c r="AA22" i="2" s="1"/>
  <c r="L22" i="6"/>
  <c r="V22" i="6" s="1"/>
  <c r="M8" i="2"/>
  <c r="J8" i="6"/>
  <c r="T8" i="6" s="1"/>
  <c r="L13" i="6"/>
  <c r="V13" i="6" s="1"/>
  <c r="N13" i="2"/>
  <c r="AA13" i="2" s="1"/>
  <c r="J30" i="6"/>
  <c r="L16" i="6"/>
  <c r="V16" i="6" s="1"/>
  <c r="N16" i="2"/>
  <c r="AA16" i="2" s="1"/>
  <c r="L25" i="6"/>
  <c r="V25" i="6" s="1"/>
  <c r="N25" i="2"/>
  <c r="AA25" i="2" s="1"/>
  <c r="L29" i="6"/>
  <c r="V29" i="6" s="1"/>
  <c r="N29" i="2"/>
  <c r="AA29" i="2" s="1"/>
  <c r="N15" i="2"/>
  <c r="AA15" i="2" s="1"/>
  <c r="L15" i="6"/>
  <c r="V15" i="6" s="1"/>
  <c r="L18" i="6"/>
  <c r="V18" i="6" s="1"/>
  <c r="L11" i="6"/>
  <c r="V11" i="6" s="1"/>
  <c r="N11" i="2"/>
  <c r="AA11" i="2" s="1"/>
  <c r="L21" i="6"/>
  <c r="V21" i="6" s="1"/>
  <c r="N21" i="2"/>
  <c r="AA21" i="2" s="1"/>
  <c r="I8" i="7"/>
  <c r="J22" i="6"/>
  <c r="M22" i="2"/>
  <c r="L19" i="6"/>
  <c r="V19" i="6" s="1"/>
  <c r="N19" i="2"/>
  <c r="AA19" i="2" s="1"/>
  <c r="L23" i="6"/>
  <c r="V23" i="6" s="1"/>
  <c r="N23" i="2"/>
  <c r="AA23" i="2" s="1"/>
  <c r="L20" i="6"/>
  <c r="V20" i="6" s="1"/>
  <c r="N20" i="2"/>
  <c r="AA20" i="2" s="1"/>
  <c r="L32" i="6"/>
  <c r="N32" i="2"/>
  <c r="I30" i="7"/>
  <c r="K30" i="6"/>
  <c r="G12" i="7"/>
  <c r="L24" i="6"/>
  <c r="V24" i="6" s="1"/>
  <c r="N24" i="2"/>
  <c r="AA24" i="2" s="1"/>
  <c r="J14" i="6"/>
  <c r="M14" i="2"/>
  <c r="N27" i="2"/>
  <c r="AA27" i="2" s="1"/>
  <c r="L27" i="6"/>
  <c r="V27" i="6" s="1"/>
  <c r="L17" i="6"/>
  <c r="V17" i="6" s="1"/>
  <c r="N17" i="2"/>
  <c r="AA17" i="2" s="1"/>
  <c r="N31" i="2"/>
  <c r="AA31" i="2" s="1"/>
  <c r="L31" i="6"/>
  <c r="V31" i="6" s="1"/>
  <c r="L28" i="6"/>
  <c r="V28" i="6" s="1"/>
  <c r="N28" i="2"/>
  <c r="AA28" i="2" s="1"/>
  <c r="L9" i="6"/>
  <c r="V9" i="6" s="1"/>
  <c r="N9" i="2"/>
  <c r="AA9" i="2" s="1"/>
  <c r="J26" i="6"/>
  <c r="M26" i="2"/>
  <c r="J10" i="6"/>
  <c r="M10" i="2"/>
  <c r="H14" i="7"/>
  <c r="H10" i="7"/>
  <c r="H26" i="7"/>
  <c r="C16" i="2"/>
  <c r="T16" i="2" s="1"/>
  <c r="F15" i="2"/>
  <c r="N15" i="6"/>
  <c r="S15" i="6" s="1"/>
  <c r="E16" i="6"/>
  <c r="P16" i="6" s="1"/>
  <c r="G14" i="2"/>
  <c r="R14" i="2" s="1"/>
  <c r="Q14" i="2"/>
  <c r="F9" i="6"/>
  <c r="G9" i="6" s="1"/>
  <c r="T9" i="6" s="1"/>
  <c r="I8" i="2"/>
  <c r="X8" i="2" s="1"/>
  <c r="R8" i="2"/>
  <c r="W8" i="2" s="1"/>
  <c r="L30" i="6" l="1"/>
  <c r="V30" i="6" s="1"/>
  <c r="N30" i="2"/>
  <c r="AA30" i="2" s="1"/>
  <c r="J9" i="7"/>
  <c r="J10" i="7" s="1"/>
  <c r="L8" i="6"/>
  <c r="N8" i="2"/>
  <c r="I14" i="7"/>
  <c r="K14" i="6"/>
  <c r="I26" i="7"/>
  <c r="K26" i="6"/>
  <c r="I10" i="7"/>
  <c r="K10" i="6"/>
  <c r="M12" i="2"/>
  <c r="J12" i="6"/>
  <c r="I12" i="7"/>
  <c r="E17" i="6"/>
  <c r="P17" i="6" s="1"/>
  <c r="W14" i="2"/>
  <c r="G15" i="2"/>
  <c r="R15" i="2" s="1"/>
  <c r="Q15" i="2"/>
  <c r="N16" i="6"/>
  <c r="S16" i="6" s="1"/>
  <c r="C17" i="2"/>
  <c r="T17" i="2" s="1"/>
  <c r="F16" i="2"/>
  <c r="G16" i="2" s="1"/>
  <c r="R16" i="2" s="1"/>
  <c r="D10" i="6"/>
  <c r="U9" i="6"/>
  <c r="X9" i="6" s="1"/>
  <c r="J8" i="2"/>
  <c r="Y8" i="2" s="1"/>
  <c r="J11" i="7" l="1"/>
  <c r="J12" i="7" s="1"/>
  <c r="N17" i="6"/>
  <c r="S17" i="6" s="1"/>
  <c r="N26" i="2"/>
  <c r="AA26" i="2" s="1"/>
  <c r="L26" i="6"/>
  <c r="V26" i="6" s="1"/>
  <c r="L12" i="6"/>
  <c r="V12" i="6" s="1"/>
  <c r="N12" i="2"/>
  <c r="AA12" i="2" s="1"/>
  <c r="N10" i="2"/>
  <c r="AA10" i="2" s="1"/>
  <c r="L10" i="6"/>
  <c r="V10" i="6" s="1"/>
  <c r="N14" i="2"/>
  <c r="AA14" i="2" s="1"/>
  <c r="L14" i="6"/>
  <c r="V14" i="6" s="1"/>
  <c r="V8" i="6"/>
  <c r="X8" i="6" s="1"/>
  <c r="Z8" i="6" s="1"/>
  <c r="AB8" i="6" s="1"/>
  <c r="Y9" i="6"/>
  <c r="Z9" i="6" s="1"/>
  <c r="AB9" i="6" s="1"/>
  <c r="AC9" i="2"/>
  <c r="AA8" i="2"/>
  <c r="AB8" i="2" s="1"/>
  <c r="AD8" i="2" s="1"/>
  <c r="AF8" i="2" s="1"/>
  <c r="E18" i="6"/>
  <c r="P18" i="6" s="1"/>
  <c r="W15" i="2"/>
  <c r="Q16" i="2"/>
  <c r="W16" i="2" s="1"/>
  <c r="C18" i="2"/>
  <c r="T18" i="2" s="1"/>
  <c r="F17" i="2"/>
  <c r="G17" i="2" s="1"/>
  <c r="R17" i="2" s="1"/>
  <c r="F10" i="6"/>
  <c r="G10" i="6" s="1"/>
  <c r="T10" i="6" s="1"/>
  <c r="E9" i="2"/>
  <c r="N18" i="6" l="1"/>
  <c r="E19" i="6"/>
  <c r="P19" i="6" s="1"/>
  <c r="S18" i="6"/>
  <c r="AC10" i="2"/>
  <c r="AG9" i="2"/>
  <c r="AH9" i="2" s="1"/>
  <c r="AC9" i="6"/>
  <c r="AD9" i="6" s="1"/>
  <c r="Y10" i="6"/>
  <c r="H9" i="2"/>
  <c r="I9" i="2" s="1"/>
  <c r="X9" i="2" s="1"/>
  <c r="Q17" i="2"/>
  <c r="W17" i="2" s="1"/>
  <c r="C19" i="2"/>
  <c r="T19" i="2" s="1"/>
  <c r="F18" i="2"/>
  <c r="G18" i="2" s="1"/>
  <c r="R18" i="2" s="1"/>
  <c r="J13" i="7"/>
  <c r="D11" i="6"/>
  <c r="U10" i="6"/>
  <c r="E20" i="6"/>
  <c r="P20" i="6" s="1"/>
  <c r="N19" i="6"/>
  <c r="S19" i="6" s="1"/>
  <c r="AC10" i="6" l="1"/>
  <c r="AD10" i="6" s="1"/>
  <c r="Y11" i="6"/>
  <c r="AC11" i="2"/>
  <c r="AG10" i="2"/>
  <c r="AH10" i="2" s="1"/>
  <c r="J9" i="2"/>
  <c r="E10" i="2" s="1"/>
  <c r="H10" i="2" s="1"/>
  <c r="C20" i="2"/>
  <c r="T20" i="2" s="1"/>
  <c r="F19" i="2"/>
  <c r="Q18" i="2"/>
  <c r="W18" i="2" s="1"/>
  <c r="J14" i="7"/>
  <c r="X10" i="6"/>
  <c r="Z10" i="6" s="1"/>
  <c r="AB10" i="6" s="1"/>
  <c r="N20" i="6"/>
  <c r="S20" i="6" s="1"/>
  <c r="E21" i="6"/>
  <c r="P21" i="6" s="1"/>
  <c r="F11" i="6"/>
  <c r="G11" i="6" s="1"/>
  <c r="T11" i="6" s="1"/>
  <c r="AC12" i="2" l="1"/>
  <c r="AG11" i="2"/>
  <c r="AH11" i="2" s="1"/>
  <c r="Y12" i="6"/>
  <c r="AC11" i="6"/>
  <c r="AD11" i="6" s="1"/>
  <c r="Y9" i="2"/>
  <c r="AB9" i="2" s="1"/>
  <c r="AD9" i="2" s="1"/>
  <c r="AF9" i="2" s="1"/>
  <c r="C21" i="2"/>
  <c r="T21" i="2" s="1"/>
  <c r="F20" i="2"/>
  <c r="G20" i="2" s="1"/>
  <c r="R20" i="2" s="1"/>
  <c r="Q19" i="2"/>
  <c r="W19" i="2" s="1"/>
  <c r="G19" i="2"/>
  <c r="R19" i="2" s="1"/>
  <c r="J15" i="7"/>
  <c r="D12" i="6"/>
  <c r="U11" i="6"/>
  <c r="X11" i="6" s="1"/>
  <c r="Z11" i="6" s="1"/>
  <c r="AB11" i="6" s="1"/>
  <c r="N21" i="6"/>
  <c r="S21" i="6" s="1"/>
  <c r="E22" i="6"/>
  <c r="P22" i="6" s="1"/>
  <c r="Y13" i="6" l="1"/>
  <c r="AC12" i="6"/>
  <c r="AD12" i="6" s="1"/>
  <c r="AC13" i="2"/>
  <c r="AG12" i="2"/>
  <c r="AH12" i="2" s="1"/>
  <c r="Q20" i="2"/>
  <c r="W20" i="2" s="1"/>
  <c r="C22" i="2"/>
  <c r="T22" i="2" s="1"/>
  <c r="F21" i="2"/>
  <c r="G21" i="2" s="1"/>
  <c r="R21" i="2" s="1"/>
  <c r="J16" i="7"/>
  <c r="F12" i="6"/>
  <c r="G12" i="6" s="1"/>
  <c r="T12" i="6" s="1"/>
  <c r="E23" i="6"/>
  <c r="P23" i="6" s="1"/>
  <c r="N22" i="6"/>
  <c r="S22" i="6" s="1"/>
  <c r="I10" i="2"/>
  <c r="X10" i="2" s="1"/>
  <c r="AC14" i="2" l="1"/>
  <c r="AG13" i="2"/>
  <c r="AH13" i="2" s="1"/>
  <c r="Y14" i="6"/>
  <c r="AC13" i="6"/>
  <c r="AD13" i="6" s="1"/>
  <c r="Q21" i="2"/>
  <c r="W21" i="2" s="1"/>
  <c r="C23" i="2"/>
  <c r="T23" i="2" s="1"/>
  <c r="F22" i="2"/>
  <c r="G22" i="2" s="1"/>
  <c r="R22" i="2" s="1"/>
  <c r="J17" i="7"/>
  <c r="J10" i="2"/>
  <c r="D13" i="6"/>
  <c r="U12" i="6"/>
  <c r="X12" i="6" s="1"/>
  <c r="Z12" i="6" s="1"/>
  <c r="AB12" i="6" s="1"/>
  <c r="E24" i="6"/>
  <c r="P24" i="6" s="1"/>
  <c r="N23" i="6"/>
  <c r="S23" i="6" s="1"/>
  <c r="AC14" i="6" l="1"/>
  <c r="AD14" i="6" s="1"/>
  <c r="Y15" i="6"/>
  <c r="Q22" i="2"/>
  <c r="W22" i="2" s="1"/>
  <c r="AC15" i="2"/>
  <c r="AG14" i="2"/>
  <c r="AH14" i="2" s="1"/>
  <c r="E11" i="2"/>
  <c r="H11" i="2" s="1"/>
  <c r="Y10" i="2"/>
  <c r="AB10" i="2" s="1"/>
  <c r="AD10" i="2" s="1"/>
  <c r="AF10" i="2" s="1"/>
  <c r="C24" i="2"/>
  <c r="T24" i="2" s="1"/>
  <c r="F23" i="2"/>
  <c r="G23" i="2" s="1"/>
  <c r="R23" i="2" s="1"/>
  <c r="J18" i="7"/>
  <c r="N24" i="6"/>
  <c r="S24" i="6" s="1"/>
  <c r="E25" i="6"/>
  <c r="P25" i="6" s="1"/>
  <c r="F13" i="6"/>
  <c r="G13" i="6" s="1"/>
  <c r="T13" i="6" s="1"/>
  <c r="AC16" i="2" l="1"/>
  <c r="AG15" i="2"/>
  <c r="AH15" i="2" s="1"/>
  <c r="Y16" i="6"/>
  <c r="AC15" i="6"/>
  <c r="AD15" i="6" s="1"/>
  <c r="I11" i="2"/>
  <c r="X11" i="2" s="1"/>
  <c r="Q23" i="2"/>
  <c r="W23" i="2" s="1"/>
  <c r="C25" i="2"/>
  <c r="T25" i="2" s="1"/>
  <c r="F24" i="2"/>
  <c r="G24" i="2" s="1"/>
  <c r="R24" i="2" s="1"/>
  <c r="J19" i="7"/>
  <c r="N25" i="6"/>
  <c r="S25" i="6" s="1"/>
  <c r="E26" i="6"/>
  <c r="P26" i="6" s="1"/>
  <c r="D14" i="6"/>
  <c r="U13" i="6"/>
  <c r="X13" i="6" s="1"/>
  <c r="Z13" i="6" s="1"/>
  <c r="AB13" i="6" s="1"/>
  <c r="J11" i="2" l="1"/>
  <c r="Y11" i="2" s="1"/>
  <c r="AB11" i="2" s="1"/>
  <c r="AD11" i="2" s="1"/>
  <c r="AF11" i="2" s="1"/>
  <c r="Y17" i="6"/>
  <c r="AC16" i="6"/>
  <c r="AD16" i="6" s="1"/>
  <c r="AC17" i="2"/>
  <c r="AG16" i="2"/>
  <c r="AH16" i="2" s="1"/>
  <c r="Q24" i="2"/>
  <c r="W24" i="2" s="1"/>
  <c r="C26" i="2"/>
  <c r="T26" i="2" s="1"/>
  <c r="F25" i="2"/>
  <c r="G25" i="2" s="1"/>
  <c r="R25" i="2" s="1"/>
  <c r="J20" i="7"/>
  <c r="F14" i="6"/>
  <c r="G14" i="6" s="1"/>
  <c r="T14" i="6" s="1"/>
  <c r="E27" i="6"/>
  <c r="P27" i="6" s="1"/>
  <c r="N26" i="6"/>
  <c r="S26" i="6" s="1"/>
  <c r="E12" i="2"/>
  <c r="H12" i="2" s="1"/>
  <c r="AC18" i="2" l="1"/>
  <c r="AG17" i="2"/>
  <c r="AH17" i="2" s="1"/>
  <c r="Y18" i="6"/>
  <c r="AC17" i="6"/>
  <c r="AD17" i="6" s="1"/>
  <c r="Q25" i="2"/>
  <c r="W25" i="2" s="1"/>
  <c r="C27" i="2"/>
  <c r="T27" i="2" s="1"/>
  <c r="F26" i="2"/>
  <c r="G26" i="2" s="1"/>
  <c r="R26" i="2" s="1"/>
  <c r="J21" i="7"/>
  <c r="D15" i="6"/>
  <c r="U14" i="6"/>
  <c r="X14" i="6" s="1"/>
  <c r="Z14" i="6" s="1"/>
  <c r="AB14" i="6" s="1"/>
  <c r="E28" i="6"/>
  <c r="P28" i="6" s="1"/>
  <c r="N27" i="6"/>
  <c r="S27" i="6" s="1"/>
  <c r="I12" i="2"/>
  <c r="X12" i="2" s="1"/>
  <c r="Y19" i="6" l="1"/>
  <c r="AC18" i="6"/>
  <c r="AD18" i="6" s="1"/>
  <c r="AC19" i="2"/>
  <c r="AG18" i="2"/>
  <c r="AH18" i="2" s="1"/>
  <c r="Q26" i="2"/>
  <c r="W26" i="2" s="1"/>
  <c r="C28" i="2"/>
  <c r="T28" i="2" s="1"/>
  <c r="F27" i="2"/>
  <c r="G27" i="2" s="1"/>
  <c r="R27" i="2" s="1"/>
  <c r="J22" i="7"/>
  <c r="F15" i="6"/>
  <c r="G15" i="6" s="1"/>
  <c r="T15" i="6" s="1"/>
  <c r="N28" i="6"/>
  <c r="S28" i="6" s="1"/>
  <c r="E29" i="6"/>
  <c r="P29" i="6" s="1"/>
  <c r="J12" i="2"/>
  <c r="Y12" i="2" s="1"/>
  <c r="AC20" i="2" l="1"/>
  <c r="AG19" i="2"/>
  <c r="AH19" i="2" s="1"/>
  <c r="Y20" i="6"/>
  <c r="AC19" i="6"/>
  <c r="AD19" i="6" s="1"/>
  <c r="Q27" i="2"/>
  <c r="W27" i="2" s="1"/>
  <c r="C29" i="2"/>
  <c r="T29" i="2" s="1"/>
  <c r="F28" i="2"/>
  <c r="G28" i="2" s="1"/>
  <c r="R28" i="2" s="1"/>
  <c r="J23" i="7"/>
  <c r="D16" i="6"/>
  <c r="U15" i="6"/>
  <c r="N29" i="6"/>
  <c r="S29" i="6" s="1"/>
  <c r="E30" i="6"/>
  <c r="P30" i="6" s="1"/>
  <c r="E13" i="2"/>
  <c r="H13" i="2" s="1"/>
  <c r="AB12" i="2"/>
  <c r="AD12" i="2" s="1"/>
  <c r="AF12" i="2" s="1"/>
  <c r="Y21" i="6" l="1"/>
  <c r="AC20" i="6"/>
  <c r="AD20" i="6" s="1"/>
  <c r="AC21" i="2"/>
  <c r="AG20" i="2"/>
  <c r="AH20" i="2" s="1"/>
  <c r="Q28" i="2"/>
  <c r="W28" i="2" s="1"/>
  <c r="C30" i="2"/>
  <c r="T30" i="2" s="1"/>
  <c r="F29" i="2"/>
  <c r="G29" i="2" s="1"/>
  <c r="R29" i="2" s="1"/>
  <c r="J24" i="7"/>
  <c r="E31" i="6"/>
  <c r="P31" i="6" s="1"/>
  <c r="N30" i="6"/>
  <c r="S30" i="6" s="1"/>
  <c r="F16" i="6"/>
  <c r="G16" i="6" s="1"/>
  <c r="T16" i="6" s="1"/>
  <c r="X15" i="6"/>
  <c r="Z15" i="6" s="1"/>
  <c r="AB15" i="6" s="1"/>
  <c r="I13" i="2"/>
  <c r="X13" i="2" s="1"/>
  <c r="AC22" i="2" l="1"/>
  <c r="AG21" i="2"/>
  <c r="AH21" i="2" s="1"/>
  <c r="Y22" i="6"/>
  <c r="AC21" i="6"/>
  <c r="AD21" i="6" s="1"/>
  <c r="C31" i="2"/>
  <c r="T31" i="2" s="1"/>
  <c r="F30" i="2"/>
  <c r="G30" i="2" s="1"/>
  <c r="R30" i="2" s="1"/>
  <c r="Q29" i="2"/>
  <c r="W29" i="2" s="1"/>
  <c r="J25" i="7"/>
  <c r="D17" i="6"/>
  <c r="U16" i="6"/>
  <c r="X16" i="6" s="1"/>
  <c r="Z16" i="6" s="1"/>
  <c r="AB16" i="6" s="1"/>
  <c r="E32" i="6"/>
  <c r="P32" i="6" s="1"/>
  <c r="N31" i="6"/>
  <c r="S31" i="6" s="1"/>
  <c r="J13" i="2"/>
  <c r="Y13" i="2" s="1"/>
  <c r="Y23" i="6" l="1"/>
  <c r="AC22" i="6"/>
  <c r="AD22" i="6" s="1"/>
  <c r="AC23" i="2"/>
  <c r="AG22" i="2"/>
  <c r="AH22" i="2" s="1"/>
  <c r="Q30" i="2"/>
  <c r="W30" i="2" s="1"/>
  <c r="C32" i="2"/>
  <c r="T32" i="2" s="1"/>
  <c r="F31" i="2"/>
  <c r="G31" i="2" s="1"/>
  <c r="R31" i="2" s="1"/>
  <c r="J26" i="7"/>
  <c r="N32" i="6"/>
  <c r="S32" i="6" s="1"/>
  <c r="F17" i="6"/>
  <c r="G17" i="6" s="1"/>
  <c r="T17" i="6" s="1"/>
  <c r="E14" i="2"/>
  <c r="H14" i="2" s="1"/>
  <c r="AB13" i="2"/>
  <c r="AD13" i="2" s="1"/>
  <c r="AF13" i="2" s="1"/>
  <c r="AC24" i="2" l="1"/>
  <c r="AG23" i="2"/>
  <c r="AH23" i="2" s="1"/>
  <c r="Y24" i="6"/>
  <c r="AC23" i="6"/>
  <c r="AD23" i="6" s="1"/>
  <c r="Q31" i="2"/>
  <c r="W31" i="2" s="1"/>
  <c r="F32" i="2"/>
  <c r="G32" i="2" s="1"/>
  <c r="R32" i="2" s="1"/>
  <c r="J27" i="7"/>
  <c r="D18" i="6"/>
  <c r="U17" i="6"/>
  <c r="X17" i="6" s="1"/>
  <c r="Z17" i="6" s="1"/>
  <c r="AB17" i="6" s="1"/>
  <c r="Y25" i="6" l="1"/>
  <c r="AC24" i="6"/>
  <c r="AD24" i="6" s="1"/>
  <c r="AC25" i="2"/>
  <c r="AG24" i="2"/>
  <c r="AH24" i="2" s="1"/>
  <c r="Q32" i="2"/>
  <c r="W32" i="2" s="1"/>
  <c r="J28" i="7"/>
  <c r="F18" i="6"/>
  <c r="G18" i="6" s="1"/>
  <c r="T18" i="6" s="1"/>
  <c r="I14" i="2"/>
  <c r="X14" i="2" s="1"/>
  <c r="AC26" i="2" l="1"/>
  <c r="AG25" i="2"/>
  <c r="AH25" i="2" s="1"/>
  <c r="AC25" i="6"/>
  <c r="AD25" i="6" s="1"/>
  <c r="Y26" i="6"/>
  <c r="J14" i="2"/>
  <c r="J29" i="7"/>
  <c r="D19" i="6"/>
  <c r="U18" i="6"/>
  <c r="X18" i="6" s="1"/>
  <c r="Z18" i="6" s="1"/>
  <c r="AB18" i="6" s="1"/>
  <c r="Y27" i="6" l="1"/>
  <c r="AC26" i="6"/>
  <c r="AD26" i="6" s="1"/>
  <c r="AC27" i="2"/>
  <c r="AG26" i="2"/>
  <c r="AH26" i="2" s="1"/>
  <c r="E15" i="2"/>
  <c r="H15" i="2" s="1"/>
  <c r="Y14" i="2"/>
  <c r="AB14" i="2" s="1"/>
  <c r="AD14" i="2" s="1"/>
  <c r="AF14" i="2" s="1"/>
  <c r="J30" i="7"/>
  <c r="F19" i="6"/>
  <c r="G19" i="6" s="1"/>
  <c r="T19" i="6" s="1"/>
  <c r="AC28" i="2" l="1"/>
  <c r="AG27" i="2"/>
  <c r="AH27" i="2" s="1"/>
  <c r="Y28" i="6"/>
  <c r="AC27" i="6"/>
  <c r="AD27" i="6" s="1"/>
  <c r="I15" i="2"/>
  <c r="X15" i="2" s="1"/>
  <c r="J31" i="7"/>
  <c r="D20" i="6"/>
  <c r="U19" i="6"/>
  <c r="Y29" i="6" l="1"/>
  <c r="AC28" i="6"/>
  <c r="AD28" i="6" s="1"/>
  <c r="AC29" i="2"/>
  <c r="AG28" i="2"/>
  <c r="AH28" i="2" s="1"/>
  <c r="J15" i="2"/>
  <c r="E16" i="2" s="1"/>
  <c r="H16" i="2" s="1"/>
  <c r="J32" i="7"/>
  <c r="F20" i="6"/>
  <c r="G20" i="6" s="1"/>
  <c r="T20" i="6" s="1"/>
  <c r="X19" i="6"/>
  <c r="Z19" i="6" s="1"/>
  <c r="AB19" i="6" s="1"/>
  <c r="AC30" i="2" l="1"/>
  <c r="AG29" i="2"/>
  <c r="AH29" i="2" s="1"/>
  <c r="Y30" i="6"/>
  <c r="AC29" i="6"/>
  <c r="AD29" i="6" s="1"/>
  <c r="Y15" i="2"/>
  <c r="AB15" i="2" s="1"/>
  <c r="AD15" i="2" s="1"/>
  <c r="AF15" i="2" s="1"/>
  <c r="I16" i="2"/>
  <c r="X16" i="2" s="1"/>
  <c r="D21" i="6"/>
  <c r="U20" i="6"/>
  <c r="X20" i="6" s="1"/>
  <c r="Z20" i="6" s="1"/>
  <c r="AB20" i="6" s="1"/>
  <c r="Y31" i="6" l="1"/>
  <c r="AC30" i="6"/>
  <c r="AD30" i="6" s="1"/>
  <c r="AC31" i="2"/>
  <c r="AG30" i="2"/>
  <c r="AH30" i="2" s="1"/>
  <c r="J16" i="2"/>
  <c r="F21" i="6"/>
  <c r="G21" i="6" s="1"/>
  <c r="T21" i="6" s="1"/>
  <c r="AC32" i="2" l="1"/>
  <c r="AG32" i="2" s="1"/>
  <c r="AH32" i="2" s="1"/>
  <c r="AG31" i="2"/>
  <c r="AH31" i="2" s="1"/>
  <c r="Y32" i="6"/>
  <c r="AC32" i="6" s="1"/>
  <c r="AD32" i="6" s="1"/>
  <c r="AC31" i="6"/>
  <c r="AD31" i="6" s="1"/>
  <c r="Y16" i="2"/>
  <c r="AB16" i="2" s="1"/>
  <c r="AD16" i="2" s="1"/>
  <c r="AF16" i="2" s="1"/>
  <c r="E17" i="2"/>
  <c r="D22" i="6"/>
  <c r="U21" i="6"/>
  <c r="X21" i="6" s="1"/>
  <c r="Z21" i="6" s="1"/>
  <c r="AB21" i="6" s="1"/>
  <c r="AK8" i="2" l="1"/>
  <c r="AG8" i="6"/>
  <c r="H17" i="2"/>
  <c r="F22" i="6"/>
  <c r="G22" i="6" s="1"/>
  <c r="T22" i="6" s="1"/>
  <c r="I17" i="2" l="1"/>
  <c r="X17" i="2" s="1"/>
  <c r="D23" i="6"/>
  <c r="U22" i="6"/>
  <c r="X22" i="6" s="1"/>
  <c r="Z22" i="6" s="1"/>
  <c r="AB22" i="6" s="1"/>
  <c r="J17" i="2" l="1"/>
  <c r="Y17" i="2" s="1"/>
  <c r="F23" i="6"/>
  <c r="G23" i="6" s="1"/>
  <c r="T23" i="6" s="1"/>
  <c r="E18" i="2" l="1"/>
  <c r="AB17" i="2"/>
  <c r="AD17" i="2" s="1"/>
  <c r="AF17" i="2" s="1"/>
  <c r="D24" i="6"/>
  <c r="U23" i="6"/>
  <c r="X23" i="6" s="1"/>
  <c r="Z23" i="6" s="1"/>
  <c r="AB23" i="6" s="1"/>
  <c r="H18" i="2" l="1"/>
  <c r="F24" i="6"/>
  <c r="G24" i="6" s="1"/>
  <c r="T24" i="6" s="1"/>
  <c r="I18" i="2" l="1"/>
  <c r="X18" i="2" s="1"/>
  <c r="D25" i="6"/>
  <c r="U24" i="6"/>
  <c r="X24" i="6" s="1"/>
  <c r="Z24" i="6" s="1"/>
  <c r="AB24" i="6" s="1"/>
  <c r="J18" i="2" l="1"/>
  <c r="Y18" i="2" s="1"/>
  <c r="F25" i="6"/>
  <c r="G25" i="6" s="1"/>
  <c r="T25" i="6" s="1"/>
  <c r="AB18" i="2" l="1"/>
  <c r="AD18" i="2" s="1"/>
  <c r="AF18" i="2" s="1"/>
  <c r="E19" i="2"/>
  <c r="D26" i="6"/>
  <c r="U25" i="6"/>
  <c r="X25" i="6" s="1"/>
  <c r="Z25" i="6" s="1"/>
  <c r="AB25" i="6" s="1"/>
  <c r="H19" i="2" l="1"/>
  <c r="F26" i="6"/>
  <c r="G26" i="6" s="1"/>
  <c r="T26" i="6" s="1"/>
  <c r="I19" i="2" l="1"/>
  <c r="X19" i="2" s="1"/>
  <c r="D27" i="6"/>
  <c r="U26" i="6"/>
  <c r="X26" i="6" s="1"/>
  <c r="Z26" i="6" s="1"/>
  <c r="AB26" i="6" s="1"/>
  <c r="J19" i="2" l="1"/>
  <c r="Y19" i="2" s="1"/>
  <c r="F27" i="6"/>
  <c r="G27" i="6" s="1"/>
  <c r="T27" i="6" s="1"/>
  <c r="AB19" i="2" l="1"/>
  <c r="AD19" i="2" s="1"/>
  <c r="AF19" i="2" s="1"/>
  <c r="E20" i="2"/>
  <c r="D28" i="6"/>
  <c r="U27" i="6"/>
  <c r="H20" i="2" l="1"/>
  <c r="F28" i="6"/>
  <c r="G28" i="6" s="1"/>
  <c r="T28" i="6" s="1"/>
  <c r="X27" i="6"/>
  <c r="Z27" i="6" s="1"/>
  <c r="AB27" i="6" s="1"/>
  <c r="I20" i="2" l="1"/>
  <c r="X20" i="2" s="1"/>
  <c r="D29" i="6"/>
  <c r="U28" i="6"/>
  <c r="X28" i="6" s="1"/>
  <c r="Z28" i="6" s="1"/>
  <c r="AB28" i="6" s="1"/>
  <c r="J20" i="2" l="1"/>
  <c r="Y20" i="2" s="1"/>
  <c r="F29" i="6"/>
  <c r="G29" i="6" s="1"/>
  <c r="T29" i="6" s="1"/>
  <c r="AB20" i="2" l="1"/>
  <c r="AD20" i="2" s="1"/>
  <c r="AF20" i="2" s="1"/>
  <c r="E21" i="2"/>
  <c r="D30" i="6"/>
  <c r="U29" i="6"/>
  <c r="X29" i="6" s="1"/>
  <c r="Z29" i="6" s="1"/>
  <c r="AB29" i="6" s="1"/>
  <c r="H21" i="2" l="1"/>
  <c r="F30" i="6"/>
  <c r="G30" i="6" s="1"/>
  <c r="T30" i="6" s="1"/>
  <c r="I21" i="2" l="1"/>
  <c r="X21" i="2" s="1"/>
  <c r="D31" i="6"/>
  <c r="U30" i="6"/>
  <c r="X30" i="6" s="1"/>
  <c r="Z30" i="6" s="1"/>
  <c r="AB30" i="6" s="1"/>
  <c r="J21" i="2" l="1"/>
  <c r="Y21" i="2" s="1"/>
  <c r="F31" i="6"/>
  <c r="G31" i="6" s="1"/>
  <c r="T31" i="6" s="1"/>
  <c r="AB21" i="2" l="1"/>
  <c r="AD21" i="2" s="1"/>
  <c r="AF21" i="2" s="1"/>
  <c r="E22" i="2"/>
  <c r="D32" i="6"/>
  <c r="U31" i="6"/>
  <c r="H22" i="2" l="1"/>
  <c r="F32" i="6"/>
  <c r="G32" i="6" s="1"/>
  <c r="X31" i="6"/>
  <c r="Z31" i="6" s="1"/>
  <c r="AB31" i="6" s="1"/>
  <c r="I22" i="2" l="1"/>
  <c r="X22" i="2" s="1"/>
  <c r="T32" i="6"/>
  <c r="W32" i="6"/>
  <c r="U32" i="6"/>
  <c r="J22" i="2" l="1"/>
  <c r="Y22" i="2" s="1"/>
  <c r="X32" i="6"/>
  <c r="Z32" i="6" s="1"/>
  <c r="AB32" i="6" s="1"/>
  <c r="AF8" i="6" s="1"/>
  <c r="AH8" i="6" s="1"/>
  <c r="AB22" i="2" l="1"/>
  <c r="AD22" i="2" s="1"/>
  <c r="AF22" i="2" s="1"/>
  <c r="E23" i="2"/>
  <c r="H23" i="2" l="1"/>
  <c r="I23" i="2" l="1"/>
  <c r="X23" i="2" s="1"/>
  <c r="J23" i="2" l="1"/>
  <c r="Y23" i="2" s="1"/>
  <c r="AB23" i="2" s="1"/>
  <c r="AD23" i="2" s="1"/>
  <c r="AF23" i="2" s="1"/>
  <c r="E24" i="2" l="1"/>
  <c r="H24" i="2" s="1"/>
  <c r="I24" i="2" l="1"/>
  <c r="X24" i="2" s="1"/>
  <c r="J24" i="2" l="1"/>
  <c r="Y24" i="2" s="1"/>
  <c r="AB24" i="2" s="1"/>
  <c r="AD24" i="2" s="1"/>
  <c r="AF24" i="2" s="1"/>
  <c r="E25" i="2" l="1"/>
  <c r="H25" i="2" s="1"/>
  <c r="I25" i="2" l="1"/>
  <c r="X25" i="2" s="1"/>
  <c r="J25" i="2" l="1"/>
  <c r="Y25" i="2" s="1"/>
  <c r="AB25" i="2" s="1"/>
  <c r="AD25" i="2" s="1"/>
  <c r="AF25" i="2" s="1"/>
  <c r="E26" i="2" l="1"/>
  <c r="H26" i="2" s="1"/>
  <c r="I26" i="2" l="1"/>
  <c r="X26" i="2" s="1"/>
  <c r="J26" i="2" l="1"/>
  <c r="Y26" i="2" s="1"/>
  <c r="AB26" i="2" s="1"/>
  <c r="AD26" i="2" s="1"/>
  <c r="AF26" i="2" s="1"/>
  <c r="E27" i="2" l="1"/>
  <c r="H27" i="2" s="1"/>
  <c r="I27" i="2" l="1"/>
  <c r="X27" i="2" s="1"/>
  <c r="J27" i="2" l="1"/>
  <c r="Y27" i="2" s="1"/>
  <c r="AB27" i="2" s="1"/>
  <c r="AD27" i="2" s="1"/>
  <c r="AF27" i="2" s="1"/>
  <c r="E28" i="2" l="1"/>
  <c r="H28" i="2" s="1"/>
  <c r="I28" i="2" l="1"/>
  <c r="X28" i="2" s="1"/>
  <c r="J28" i="2" l="1"/>
  <c r="Y28" i="2" s="1"/>
  <c r="AB28" i="2" s="1"/>
  <c r="AD28" i="2" s="1"/>
  <c r="AF28" i="2" s="1"/>
  <c r="E29" i="2" l="1"/>
  <c r="H29" i="2" s="1"/>
  <c r="I29" i="2" s="1"/>
  <c r="X29" i="2" s="1"/>
  <c r="J29" i="2" l="1"/>
  <c r="Y29" i="2" s="1"/>
  <c r="E30" i="2" l="1"/>
  <c r="AB29" i="2"/>
  <c r="AD29" i="2" s="1"/>
  <c r="AF29" i="2" s="1"/>
  <c r="H30" i="2" l="1"/>
  <c r="I30" i="2" l="1"/>
  <c r="X30" i="2" s="1"/>
  <c r="J30" i="2" l="1"/>
  <c r="Y30" i="2" s="1"/>
  <c r="AB30" i="2" s="1"/>
  <c r="AD30" i="2" s="1"/>
  <c r="AF30" i="2" s="1"/>
  <c r="E31" i="2" l="1"/>
  <c r="H31" i="2" s="1"/>
  <c r="I31" i="2" l="1"/>
  <c r="X31" i="2" s="1"/>
  <c r="J31" i="2" l="1"/>
  <c r="Y31" i="2" s="1"/>
  <c r="AB31" i="2" s="1"/>
  <c r="AD31" i="2" s="1"/>
  <c r="AF31" i="2" s="1"/>
  <c r="E32" i="2" l="1"/>
  <c r="H32" i="2" s="1"/>
  <c r="I32" i="2" l="1"/>
  <c r="X32" i="2" s="1"/>
  <c r="J32" i="2" l="1"/>
  <c r="Y32" i="2" s="1"/>
  <c r="AB32" i="2" s="1"/>
  <c r="AD32" i="2" s="1"/>
  <c r="AF32" i="2" s="1"/>
  <c r="AJ8" i="2" s="1"/>
  <c r="AL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A5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Note the formula for cell Z32 is different to allow for the claim expense on death and maturity.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V5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Note the formula for cell V32 is different to allow for the claim expense on death and maturity.
</t>
        </r>
      </text>
    </comment>
  </commentList>
</comments>
</file>

<file path=xl/sharedStrings.xml><?xml version="1.0" encoding="utf-8"?>
<sst xmlns="http://schemas.openxmlformats.org/spreadsheetml/2006/main" count="123" uniqueCount="83">
  <si>
    <t>Age</t>
  </si>
  <si>
    <t>x</t>
  </si>
  <si>
    <r>
      <t xml:space="preserve"> l</t>
    </r>
    <r>
      <rPr>
        <i/>
        <vertAlign val="subscript"/>
        <sz val="11"/>
        <color theme="1"/>
        <rFont val="Calibri"/>
        <family val="2"/>
        <scheme val="minor"/>
      </rPr>
      <t>x</t>
    </r>
  </si>
  <si>
    <t>Policy year</t>
  </si>
  <si>
    <r>
      <t>q</t>
    </r>
    <r>
      <rPr>
        <vertAlign val="subscript"/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death</t>
    </r>
  </si>
  <si>
    <r>
      <t>q</t>
    </r>
    <r>
      <rPr>
        <vertAlign val="subscript"/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surrender</t>
    </r>
  </si>
  <si>
    <r>
      <t>(aq)</t>
    </r>
    <r>
      <rPr>
        <vertAlign val="subscript"/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death</t>
    </r>
  </si>
  <si>
    <r>
      <t>(aq)</t>
    </r>
    <r>
      <rPr>
        <vertAlign val="subscript"/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surrender</t>
    </r>
  </si>
  <si>
    <r>
      <t>(ap)</t>
    </r>
    <r>
      <rPr>
        <vertAlign val="subscript"/>
        <sz val="11"/>
        <color theme="1"/>
        <rFont val="Calibri"/>
        <family val="2"/>
        <scheme val="minor"/>
      </rPr>
      <t>x</t>
    </r>
  </si>
  <si>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scheme val="minor"/>
      </rPr>
      <t>(ap)</t>
    </r>
  </si>
  <si>
    <t>Value of Units at start</t>
  </si>
  <si>
    <t>Allocation</t>
  </si>
  <si>
    <t>Bid Offer Spread</t>
  </si>
  <si>
    <t>Interest</t>
  </si>
  <si>
    <t>Management Charge</t>
  </si>
  <si>
    <t>Value of Units at year end</t>
  </si>
  <si>
    <t>Allocation percentage</t>
  </si>
  <si>
    <t>Premium</t>
  </si>
  <si>
    <t>Multiple Decrement Table</t>
  </si>
  <si>
    <t>Unallocated premium</t>
  </si>
  <si>
    <t>Extra Death Benefit</t>
  </si>
  <si>
    <t>Claim Expense</t>
  </si>
  <si>
    <t xml:space="preserve">Initial </t>
  </si>
  <si>
    <t>Renewal</t>
  </si>
  <si>
    <t>Commission</t>
  </si>
  <si>
    <t>Expense</t>
  </si>
  <si>
    <t>Profit Vector</t>
  </si>
  <si>
    <t>Probability in force</t>
  </si>
  <si>
    <t>Profit Signature</t>
  </si>
  <si>
    <t>Discount Factor</t>
  </si>
  <si>
    <t>Present Value of Future Profits</t>
  </si>
  <si>
    <t>Premium Signature</t>
  </si>
  <si>
    <t>Present Value of Premium</t>
  </si>
  <si>
    <t>Profit Margin</t>
  </si>
  <si>
    <t>Total PVFP</t>
  </si>
  <si>
    <t>Total PV Premiums</t>
  </si>
  <si>
    <t>Hence Maturity Terminal bonus is</t>
  </si>
  <si>
    <t>Death Claim</t>
  </si>
  <si>
    <t>Surrender Claim</t>
  </si>
  <si>
    <t>(i)</t>
  </si>
  <si>
    <t>(ii)</t>
  </si>
  <si>
    <t>Cashflows (per policy at start of year)</t>
  </si>
  <si>
    <t>Unit Fund (per policy at start of year)</t>
  </si>
  <si>
    <t>AWP Fund (per policy at start of year)</t>
  </si>
  <si>
    <t>Profit test cashflows (per policy at start of year)</t>
  </si>
  <si>
    <t>Present Value of Profits</t>
  </si>
  <si>
    <t>Total PVP</t>
  </si>
  <si>
    <t>Value of Account at start</t>
  </si>
  <si>
    <t>Value of Account at year end</t>
  </si>
  <si>
    <t>Using the solver function in excel to solve for the terminal bonus rate.</t>
  </si>
  <si>
    <t>See Sheet (i).</t>
  </si>
  <si>
    <t>(iii)</t>
  </si>
  <si>
    <t>The Profit Margin is 2.46%</t>
  </si>
  <si>
    <t>The terminal bonus rate is 111% of fund value.</t>
  </si>
  <si>
    <t>Maturity Claim (including Terminal bonus)</t>
  </si>
  <si>
    <t>Profit Test Assumptions</t>
  </si>
  <si>
    <t>Growth Rate on assets in the unit fund</t>
  </si>
  <si>
    <t>per annum</t>
  </si>
  <si>
    <t>Interest rate on non-unit fund cashflows</t>
  </si>
  <si>
    <t>Mortality</t>
  </si>
  <si>
    <t>Surrender</t>
  </si>
  <si>
    <t>of policies in force at the end of year 1</t>
  </si>
  <si>
    <t>of policies in force at the end of year 2</t>
  </si>
  <si>
    <t>of policies in force at the end of years 3 to 24 inclusive</t>
  </si>
  <si>
    <t>No policies surrender in the last year of the term</t>
  </si>
  <si>
    <t>Initial expense</t>
  </si>
  <si>
    <t>Renewal expense</t>
  </si>
  <si>
    <t>per annum from the second and susequent premium dates onwards</t>
  </si>
  <si>
    <t>Initial commission</t>
  </si>
  <si>
    <t>of the first premium</t>
  </si>
  <si>
    <t>Renewal commission</t>
  </si>
  <si>
    <t>of each premium from the second and subsequent premium dates onwards</t>
  </si>
  <si>
    <t>Claim expense</t>
  </si>
  <si>
    <t>for all claim types</t>
  </si>
  <si>
    <t>Risk discount rate</t>
  </si>
  <si>
    <t>Base table</t>
  </si>
  <si>
    <t>of the base table held in the "Mortality" sheet</t>
  </si>
  <si>
    <t>85% Base table</t>
  </si>
  <si>
    <t>Multiple Decrement Table [from (i)]</t>
  </si>
  <si>
    <t>Multiple Decrement Table [from part (i)]</t>
  </si>
  <si>
    <r>
      <t xml:space="preserve"> q</t>
    </r>
    <r>
      <rPr>
        <i/>
        <vertAlign val="subscript"/>
        <sz val="11"/>
        <color theme="1"/>
        <rFont val="Calibri"/>
        <family val="2"/>
        <scheme val="minor"/>
      </rPr>
      <t>x</t>
    </r>
  </si>
  <si>
    <t>for remaining items in profit test being unchanged</t>
  </si>
  <si>
    <t>Surrender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</si>
</sst>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  <numFmt numFmtId="165" formatCode="0.00000"/>
    <numFmt numFmtId="166" formatCode="0.000000"/>
    <numFmt numFmtId="167" formatCode="_-* #,##0.000000_-;\-* #,##0.0000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0" applyNumberFormat="1"/>
    <xf numFmtId="43" fontId="0" fillId="0" borderId="0" xfId="0" applyNumberFormat="1"/>
    <xf numFmtId="0" fontId="0" fillId="0" borderId="0" xfId="0" applyAlignment="1">
      <alignment horizontal="right"/>
    </xf>
    <xf numFmtId="10" fontId="0" fillId="0" borderId="0" xfId="2" applyNumberFormat="1" applyFont="1"/>
    <xf numFmtId="0" fontId="0" fillId="0" borderId="4" xfId="0" applyBorder="1"/>
    <xf numFmtId="9" fontId="6" fillId="0" borderId="0" xfId="0" applyNumberFormat="1" applyFont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0" fontId="6" fillId="0" borderId="0" xfId="0" applyNumberFormat="1" applyFont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6" fillId="0" borderId="4" xfId="0" applyFont="1" applyBorder="1"/>
    <xf numFmtId="43" fontId="0" fillId="0" borderId="0" xfId="1" applyFont="1" applyBorder="1"/>
    <xf numFmtId="43" fontId="0" fillId="0" borderId="5" xfId="1" applyFont="1" applyBorder="1"/>
    <xf numFmtId="9" fontId="0" fillId="0" borderId="7" xfId="0" applyNumberFormat="1" applyBorder="1"/>
    <xf numFmtId="43" fontId="0" fillId="0" borderId="7" xfId="1" applyFont="1" applyBorder="1"/>
    <xf numFmtId="43" fontId="0" fillId="0" borderId="8" xfId="1" applyFont="1" applyBorder="1"/>
    <xf numFmtId="6" fontId="6" fillId="0" borderId="0" xfId="0" applyNumberFormat="1" applyFont="1"/>
    <xf numFmtId="0" fontId="6" fillId="0" borderId="0" xfId="0" applyFont="1"/>
    <xf numFmtId="43" fontId="0" fillId="0" borderId="4" xfId="0" applyNumberFormat="1" applyBorder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43" fontId="0" fillId="0" borderId="6" xfId="0" applyNumberFormat="1" applyBorder="1"/>
    <xf numFmtId="43" fontId="0" fillId="0" borderId="7" xfId="0" applyNumberFormat="1" applyBorder="1"/>
    <xf numFmtId="164" fontId="0" fillId="0" borderId="7" xfId="0" applyNumberFormat="1" applyBorder="1"/>
    <xf numFmtId="166" fontId="0" fillId="0" borderId="7" xfId="0" applyNumberFormat="1" applyBorder="1"/>
    <xf numFmtId="165" fontId="0" fillId="0" borderId="7" xfId="0" applyNumberFormat="1" applyBorder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0" applyNumberFormat="1"/>
    <xf numFmtId="6" fontId="0" fillId="0" borderId="0" xfId="0" applyNumberFormat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167" fontId="0" fillId="0" borderId="0" xfId="1" applyNumberFormat="1" applyFont="1" applyBorder="1"/>
    <xf numFmtId="0" fontId="0" fillId="0" borderId="0" xfId="0" applyAlignment="1">
      <alignment horizontal="center" vertical="center" wrapText="1"/>
    </xf>
    <xf numFmtId="164" fontId="0" fillId="0" borderId="4" xfId="1" applyNumberFormat="1" applyFont="1" applyBorder="1"/>
    <xf numFmtId="167" fontId="0" fillId="0" borderId="5" xfId="1" applyNumberFormat="1" applyFont="1" applyBorder="1"/>
    <xf numFmtId="164" fontId="0" fillId="0" borderId="6" xfId="1" applyNumberFormat="1" applyFont="1" applyBorder="1"/>
    <xf numFmtId="167" fontId="0" fillId="0" borderId="7" xfId="1" applyNumberFormat="1" applyFont="1" applyBorder="1"/>
    <xf numFmtId="167" fontId="0" fillId="0" borderId="8" xfId="1" applyNumberFormat="1" applyFont="1" applyBorder="1"/>
    <xf numFmtId="0" fontId="0" fillId="0" borderId="9" xfId="0" applyBorder="1"/>
    <xf numFmtId="0" fontId="0" fillId="0" borderId="10" xfId="0" applyBorder="1" applyAlignment="1">
      <alignment wrapText="1"/>
    </xf>
    <xf numFmtId="9" fontId="0" fillId="0" borderId="6" xfId="0" applyNumberFormat="1" applyBorder="1"/>
    <xf numFmtId="0" fontId="0" fillId="0" borderId="10" xfId="0" applyBorder="1" applyAlignment="1">
      <alignment horizont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2"/>
  <sheetViews>
    <sheetView tabSelected="1" workbookViewId="0"/>
  </sheetViews>
  <sheetFormatPr defaultRowHeight="15" x14ac:dyDescent="0.25"/>
  <cols>
    <col min="1" max="1" width="37.42578125" bestFit="1" customWidth="1"/>
    <col min="2" max="2" width="9.140625" customWidth="1"/>
    <col min="3" max="3" width="69.5703125" customWidth="1"/>
  </cols>
  <sheetData>
    <row r="2" spans="1:3" x14ac:dyDescent="0.25">
      <c r="A2" t="s">
        <v>55</v>
      </c>
    </row>
    <row r="4" spans="1:3" x14ac:dyDescent="0.25">
      <c r="A4" t="s">
        <v>56</v>
      </c>
      <c r="B4" s="41">
        <v>4.4999999999999998E-2</v>
      </c>
      <c r="C4" t="s">
        <v>57</v>
      </c>
    </row>
    <row r="5" spans="1:3" x14ac:dyDescent="0.25">
      <c r="A5" t="s">
        <v>58</v>
      </c>
      <c r="B5" s="41">
        <v>2.5000000000000001E-2</v>
      </c>
      <c r="C5" t="s">
        <v>57</v>
      </c>
    </row>
    <row r="7" spans="1:3" x14ac:dyDescent="0.25">
      <c r="A7" t="s">
        <v>59</v>
      </c>
      <c r="B7" s="5">
        <v>0.85</v>
      </c>
      <c r="C7" t="s">
        <v>76</v>
      </c>
    </row>
    <row r="9" spans="1:3" x14ac:dyDescent="0.25">
      <c r="A9" t="s">
        <v>60</v>
      </c>
      <c r="B9" s="41">
        <v>7.4999999999999997E-2</v>
      </c>
      <c r="C9" t="s">
        <v>61</v>
      </c>
    </row>
    <row r="10" spans="1:3" x14ac:dyDescent="0.25">
      <c r="B10" s="5">
        <v>0.05</v>
      </c>
      <c r="C10" t="s">
        <v>62</v>
      </c>
    </row>
    <row r="11" spans="1:3" x14ac:dyDescent="0.25">
      <c r="B11" s="5">
        <v>0.01</v>
      </c>
      <c r="C11" t="s">
        <v>63</v>
      </c>
    </row>
    <row r="12" spans="1:3" x14ac:dyDescent="0.25">
      <c r="B12" t="s">
        <v>64</v>
      </c>
    </row>
    <row r="14" spans="1:3" x14ac:dyDescent="0.25">
      <c r="A14" t="s">
        <v>65</v>
      </c>
      <c r="B14" s="42">
        <v>250</v>
      </c>
    </row>
    <row r="15" spans="1:3" x14ac:dyDescent="0.25">
      <c r="A15" t="s">
        <v>66</v>
      </c>
      <c r="B15" s="42">
        <v>60</v>
      </c>
      <c r="C15" t="s">
        <v>67</v>
      </c>
    </row>
    <row r="17" spans="1:3" x14ac:dyDescent="0.25">
      <c r="A17" t="s">
        <v>68</v>
      </c>
      <c r="B17" s="5">
        <v>0.25</v>
      </c>
      <c r="C17" t="s">
        <v>69</v>
      </c>
    </row>
    <row r="18" spans="1:3" x14ac:dyDescent="0.25">
      <c r="A18" t="s">
        <v>70</v>
      </c>
      <c r="B18" s="41">
        <v>2.5000000000000001E-2</v>
      </c>
      <c r="C18" t="s">
        <v>71</v>
      </c>
    </row>
    <row r="20" spans="1:3" x14ac:dyDescent="0.25">
      <c r="A20" t="s">
        <v>72</v>
      </c>
      <c r="B20" s="42">
        <v>50</v>
      </c>
      <c r="C20" t="s">
        <v>73</v>
      </c>
    </row>
    <row r="22" spans="1:3" x14ac:dyDescent="0.25">
      <c r="A22" t="s">
        <v>74</v>
      </c>
      <c r="B22" s="5">
        <v>0.09</v>
      </c>
      <c r="C22" t="s">
        <v>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31"/>
  <sheetViews>
    <sheetView workbookViewId="0"/>
  </sheetViews>
  <sheetFormatPr defaultRowHeight="15" x14ac:dyDescent="0.25"/>
  <cols>
    <col min="3" max="3" width="13.7109375" customWidth="1"/>
  </cols>
  <sheetData>
    <row r="3" spans="2:3" x14ac:dyDescent="0.25">
      <c r="B3" s="3" t="s">
        <v>0</v>
      </c>
      <c r="C3" s="3" t="s">
        <v>75</v>
      </c>
    </row>
    <row r="4" spans="2:3" ht="18" x14ac:dyDescent="0.35">
      <c r="B4" s="4" t="s">
        <v>1</v>
      </c>
      <c r="C4" s="4" t="s">
        <v>2</v>
      </c>
    </row>
    <row r="5" spans="2:3" x14ac:dyDescent="0.25">
      <c r="B5" s="2"/>
      <c r="C5" s="2"/>
    </row>
    <row r="6" spans="2:3" x14ac:dyDescent="0.25">
      <c r="B6">
        <v>45</v>
      </c>
      <c r="C6">
        <v>9801.3122999999996</v>
      </c>
    </row>
    <row r="7" spans="2:3" x14ac:dyDescent="0.25">
      <c r="B7">
        <v>46</v>
      </c>
      <c r="C7">
        <v>9786.9534000000003</v>
      </c>
    </row>
    <row r="8" spans="2:3" x14ac:dyDescent="0.25">
      <c r="B8">
        <v>47</v>
      </c>
      <c r="C8">
        <v>9771.0789000000004</v>
      </c>
    </row>
    <row r="9" spans="2:3" x14ac:dyDescent="0.25">
      <c r="B9">
        <v>48</v>
      </c>
      <c r="C9">
        <v>9753.4714000000004</v>
      </c>
    </row>
    <row r="10" spans="2:3" x14ac:dyDescent="0.25">
      <c r="B10">
        <v>49</v>
      </c>
      <c r="C10">
        <v>9733.8865000000005</v>
      </c>
    </row>
    <row r="11" spans="2:3" x14ac:dyDescent="0.25">
      <c r="B11">
        <v>50</v>
      </c>
      <c r="C11">
        <v>9712.0727999999999</v>
      </c>
    </row>
    <row r="12" spans="2:3" x14ac:dyDescent="0.25">
      <c r="B12">
        <v>51</v>
      </c>
      <c r="C12">
        <v>9687.7149000000009</v>
      </c>
    </row>
    <row r="13" spans="2:3" x14ac:dyDescent="0.25">
      <c r="B13">
        <v>52</v>
      </c>
      <c r="C13">
        <v>9660.5020999999997</v>
      </c>
    </row>
    <row r="14" spans="2:3" x14ac:dyDescent="0.25">
      <c r="B14">
        <v>53</v>
      </c>
      <c r="C14">
        <v>9630.0522000000001</v>
      </c>
    </row>
    <row r="15" spans="2:3" x14ac:dyDescent="0.25">
      <c r="B15">
        <v>54</v>
      </c>
      <c r="C15">
        <v>9595.9714999999997</v>
      </c>
    </row>
    <row r="16" spans="2:3" x14ac:dyDescent="0.25">
      <c r="B16">
        <v>55</v>
      </c>
      <c r="C16">
        <v>9557.8179</v>
      </c>
    </row>
    <row r="17" spans="2:3" x14ac:dyDescent="0.25">
      <c r="B17">
        <v>56</v>
      </c>
      <c r="C17">
        <v>9515.1039999999994</v>
      </c>
    </row>
    <row r="18" spans="2:3" x14ac:dyDescent="0.25">
      <c r="B18">
        <v>57</v>
      </c>
      <c r="C18">
        <v>9467.2906000000003</v>
      </c>
    </row>
    <row r="19" spans="2:3" x14ac:dyDescent="0.25">
      <c r="B19">
        <v>58</v>
      </c>
      <c r="C19">
        <v>9413.8004000000001</v>
      </c>
    </row>
    <row r="20" spans="2:3" x14ac:dyDescent="0.25">
      <c r="B20">
        <v>59</v>
      </c>
      <c r="C20">
        <v>9354.0040000000008</v>
      </c>
    </row>
    <row r="21" spans="2:3" x14ac:dyDescent="0.25">
      <c r="B21">
        <v>60</v>
      </c>
      <c r="C21">
        <v>9287.2163999999993</v>
      </c>
    </row>
    <row r="22" spans="2:3" x14ac:dyDescent="0.25">
      <c r="B22">
        <v>61</v>
      </c>
      <c r="C22">
        <v>9212.7142999999996</v>
      </c>
    </row>
    <row r="23" spans="2:3" x14ac:dyDescent="0.25">
      <c r="B23">
        <v>62</v>
      </c>
      <c r="C23">
        <v>9129.7170000000006</v>
      </c>
    </row>
    <row r="24" spans="2:3" x14ac:dyDescent="0.25">
      <c r="B24">
        <v>63</v>
      </c>
      <c r="C24">
        <v>9037.3973000000005</v>
      </c>
    </row>
    <row r="25" spans="2:3" x14ac:dyDescent="0.25">
      <c r="B25">
        <v>64</v>
      </c>
      <c r="C25">
        <v>8934.8770999999997</v>
      </c>
    </row>
    <row r="26" spans="2:3" x14ac:dyDescent="0.25">
      <c r="B26">
        <v>65</v>
      </c>
      <c r="C26">
        <v>8821.2612000000008</v>
      </c>
    </row>
    <row r="27" spans="2:3" x14ac:dyDescent="0.25">
      <c r="B27">
        <v>66</v>
      </c>
      <c r="C27">
        <v>8695.6198999999997</v>
      </c>
    </row>
    <row r="28" spans="2:3" x14ac:dyDescent="0.25">
      <c r="B28">
        <v>67</v>
      </c>
      <c r="C28">
        <v>8557.0118000000002</v>
      </c>
    </row>
    <row r="29" spans="2:3" x14ac:dyDescent="0.25">
      <c r="B29">
        <v>68</v>
      </c>
      <c r="C29">
        <v>8404.4915999999994</v>
      </c>
    </row>
    <row r="30" spans="2:3" x14ac:dyDescent="0.25">
      <c r="B30">
        <v>69</v>
      </c>
      <c r="C30">
        <v>8237.1329000000005</v>
      </c>
    </row>
    <row r="31" spans="2:3" x14ac:dyDescent="0.25">
      <c r="B31">
        <v>70</v>
      </c>
      <c r="C31">
        <v>8054.0544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3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3" max="3" width="13.7109375" customWidth="1"/>
    <col min="8" max="8" width="10.5703125" bestFit="1" customWidth="1"/>
  </cols>
  <sheetData>
    <row r="1" spans="2:10" s="37" customFormat="1" x14ac:dyDescent="0.25">
      <c r="D1" s="37">
        <v>1</v>
      </c>
      <c r="E1" s="37">
        <v>1</v>
      </c>
      <c r="G1" s="37">
        <v>1</v>
      </c>
      <c r="H1" s="37">
        <v>2</v>
      </c>
    </row>
    <row r="3" spans="2:10" x14ac:dyDescent="0.25">
      <c r="D3" s="11"/>
      <c r="E3" s="61" t="s">
        <v>18</v>
      </c>
      <c r="F3" s="61"/>
      <c r="G3" s="61"/>
      <c r="H3" s="61"/>
      <c r="I3" s="61"/>
      <c r="J3" s="60"/>
    </row>
    <row r="4" spans="2:10" x14ac:dyDescent="0.25">
      <c r="B4" s="15"/>
      <c r="E4" s="56"/>
      <c r="F4" s="15"/>
      <c r="G4" s="15"/>
      <c r="H4" s="15"/>
      <c r="I4" s="15"/>
      <c r="J4" s="16"/>
    </row>
    <row r="5" spans="2:10" x14ac:dyDescent="0.25">
      <c r="B5" s="57" t="s">
        <v>0</v>
      </c>
      <c r="C5" s="59" t="s">
        <v>75</v>
      </c>
      <c r="D5" s="60"/>
      <c r="E5" s="59" t="s">
        <v>77</v>
      </c>
      <c r="F5" s="61"/>
      <c r="G5" s="61"/>
      <c r="H5" s="61"/>
      <c r="I5" s="61"/>
      <c r="J5" s="60"/>
    </row>
    <row r="6" spans="2:10" ht="18.75" x14ac:dyDescent="0.35">
      <c r="B6" s="43" t="s">
        <v>1</v>
      </c>
      <c r="C6" s="12" t="s">
        <v>2</v>
      </c>
      <c r="D6" s="12" t="s">
        <v>80</v>
      </c>
      <c r="E6" s="9" t="s">
        <v>4</v>
      </c>
      <c r="F6" t="s">
        <v>5</v>
      </c>
      <c r="G6" t="s">
        <v>6</v>
      </c>
      <c r="H6" t="s">
        <v>7</v>
      </c>
      <c r="I6" t="s">
        <v>8</v>
      </c>
      <c r="J6" s="11" t="s">
        <v>9</v>
      </c>
    </row>
    <row r="7" spans="2:10" x14ac:dyDescent="0.25">
      <c r="B7" s="44"/>
      <c r="C7" s="13"/>
      <c r="D7" s="11"/>
      <c r="E7" s="9"/>
      <c r="J7" s="11"/>
    </row>
    <row r="8" spans="2:10" x14ac:dyDescent="0.25">
      <c r="B8" s="45">
        <v>45</v>
      </c>
      <c r="C8" s="9">
        <f>Mortality!C6</f>
        <v>9801.3122999999996</v>
      </c>
      <c r="D8" s="11">
        <f>(C8-C9)/C8</f>
        <v>1.4649977023994294E-3</v>
      </c>
      <c r="E8" s="9">
        <f t="shared" ref="E8:E32" si="0">D8*Mortality</f>
        <v>1.2452480470395149E-3</v>
      </c>
      <c r="F8" s="41">
        <f>Surrender_year_1</f>
        <v>7.4999999999999997E-2</v>
      </c>
      <c r="G8">
        <f>E8</f>
        <v>1.2452480470395149E-3</v>
      </c>
      <c r="H8">
        <f>F8*(1-E8)</f>
        <v>7.4906606396472036E-2</v>
      </c>
      <c r="I8">
        <f>1-G8-H8</f>
        <v>0.92384814555648842</v>
      </c>
      <c r="J8" s="11">
        <v>1</v>
      </c>
    </row>
    <row r="9" spans="2:10" x14ac:dyDescent="0.25">
      <c r="B9" s="45">
        <v>46</v>
      </c>
      <c r="C9" s="9">
        <f>Mortality!C7</f>
        <v>9786.9534000000003</v>
      </c>
      <c r="D9" s="11">
        <f t="shared" ref="D9:D32" si="1">(C9-C10)/C9</f>
        <v>1.6220062925812948E-3</v>
      </c>
      <c r="E9" s="9">
        <f t="shared" si="0"/>
        <v>1.3787053486941005E-3</v>
      </c>
      <c r="F9" s="5">
        <f>Surrender_year_2</f>
        <v>0.05</v>
      </c>
      <c r="G9">
        <f t="shared" ref="G9:G32" si="2">E9</f>
        <v>1.3787053486941005E-3</v>
      </c>
      <c r="H9">
        <f t="shared" ref="H9:H32" si="3">F9*(1-E9)</f>
        <v>4.9931064732565297E-2</v>
      </c>
      <c r="I9">
        <f>1-G9-H9</f>
        <v>0.94869022991874064</v>
      </c>
      <c r="J9" s="11">
        <f>J8*I8</f>
        <v>0.92384814555648842</v>
      </c>
    </row>
    <row r="10" spans="2:10" x14ac:dyDescent="0.25">
      <c r="B10" s="45">
        <v>47</v>
      </c>
      <c r="C10" s="9">
        <f>Mortality!C8</f>
        <v>9771.0789000000004</v>
      </c>
      <c r="D10" s="11">
        <f t="shared" si="1"/>
        <v>1.8020016192889479E-3</v>
      </c>
      <c r="E10" s="9">
        <f t="shared" si="0"/>
        <v>1.5317013763956058E-3</v>
      </c>
      <c r="F10" s="5">
        <f t="shared" ref="F10:F31" si="4">Surrender_year_3_24</f>
        <v>0.01</v>
      </c>
      <c r="G10">
        <f t="shared" si="2"/>
        <v>1.5317013763956058E-3</v>
      </c>
      <c r="H10">
        <f t="shared" si="3"/>
        <v>9.9846829862360442E-3</v>
      </c>
      <c r="I10">
        <f t="shared" ref="I10:I32" si="5">1-G10-H10</f>
        <v>0.98848361563736842</v>
      </c>
      <c r="J10" s="11">
        <f t="shared" ref="J10:J32" si="6">J9*I9</f>
        <v>0.87644570961798718</v>
      </c>
    </row>
    <row r="11" spans="2:10" x14ac:dyDescent="0.25">
      <c r="B11" s="45">
        <v>48</v>
      </c>
      <c r="C11" s="9">
        <f>Mortality!C9</f>
        <v>9753.4714000000004</v>
      </c>
      <c r="D11" s="11">
        <f t="shared" si="1"/>
        <v>2.0079927645043215E-3</v>
      </c>
      <c r="E11" s="9">
        <f t="shared" si="0"/>
        <v>1.7067938498286732E-3</v>
      </c>
      <c r="F11" s="5">
        <f t="shared" si="4"/>
        <v>0.01</v>
      </c>
      <c r="G11">
        <f t="shared" si="2"/>
        <v>1.7067938498286732E-3</v>
      </c>
      <c r="H11">
        <f t="shared" si="3"/>
        <v>9.9829320615017134E-3</v>
      </c>
      <c r="I11">
        <f t="shared" si="5"/>
        <v>0.98831027408866967</v>
      </c>
      <c r="J11" s="11">
        <f t="shared" si="6"/>
        <v>0.86635222395304701</v>
      </c>
    </row>
    <row r="12" spans="2:10" x14ac:dyDescent="0.25">
      <c r="B12" s="45">
        <v>49</v>
      </c>
      <c r="C12" s="9">
        <f>Mortality!C10</f>
        <v>9733.8865000000005</v>
      </c>
      <c r="D12" s="11">
        <f t="shared" si="1"/>
        <v>2.2410062003497379E-3</v>
      </c>
      <c r="E12" s="9">
        <f t="shared" si="0"/>
        <v>1.9048552702972772E-3</v>
      </c>
      <c r="F12" s="5">
        <f t="shared" si="4"/>
        <v>0.01</v>
      </c>
      <c r="G12">
        <f t="shared" si="2"/>
        <v>1.9048552702972772E-3</v>
      </c>
      <c r="H12">
        <f t="shared" si="3"/>
        <v>9.9809514472970276E-3</v>
      </c>
      <c r="I12">
        <f t="shared" si="5"/>
        <v>0.98811419328240568</v>
      </c>
      <c r="J12" s="11">
        <f t="shared" si="6"/>
        <v>0.85622480391236444</v>
      </c>
    </row>
    <row r="13" spans="2:10" x14ac:dyDescent="0.25">
      <c r="B13" s="45">
        <v>50</v>
      </c>
      <c r="C13" s="9">
        <f>Mortality!C11</f>
        <v>9712.0727999999999</v>
      </c>
      <c r="D13" s="11">
        <f t="shared" si="1"/>
        <v>2.5080022052552018E-3</v>
      </c>
      <c r="E13" s="9">
        <f t="shared" si="0"/>
        <v>2.1318018744669216E-3</v>
      </c>
      <c r="F13" s="5">
        <f t="shared" si="4"/>
        <v>0.01</v>
      </c>
      <c r="G13">
        <f t="shared" si="2"/>
        <v>2.1318018744669216E-3</v>
      </c>
      <c r="H13">
        <f t="shared" si="3"/>
        <v>9.9786819812553301E-3</v>
      </c>
      <c r="I13">
        <f t="shared" si="5"/>
        <v>0.98788951614427778</v>
      </c>
      <c r="J13" s="11">
        <f t="shared" si="6"/>
        <v>0.84604788138625198</v>
      </c>
    </row>
    <row r="14" spans="2:10" x14ac:dyDescent="0.25">
      <c r="B14" s="45">
        <v>51</v>
      </c>
      <c r="C14" s="9">
        <f>Mortality!C12</f>
        <v>9687.7149000000009</v>
      </c>
      <c r="D14" s="11">
        <f t="shared" si="1"/>
        <v>2.8090009131050242E-3</v>
      </c>
      <c r="E14" s="9">
        <f t="shared" si="0"/>
        <v>2.3876507761392703E-3</v>
      </c>
      <c r="F14" s="5">
        <f t="shared" si="4"/>
        <v>0.01</v>
      </c>
      <c r="G14">
        <f t="shared" si="2"/>
        <v>2.3876507761392703E-3</v>
      </c>
      <c r="H14">
        <f t="shared" si="3"/>
        <v>9.9761234922386074E-3</v>
      </c>
      <c r="I14">
        <f t="shared" si="5"/>
        <v>0.98763622573162213</v>
      </c>
      <c r="J14" s="11">
        <f t="shared" si="6"/>
        <v>0.83580183217755577</v>
      </c>
    </row>
    <row r="15" spans="2:10" x14ac:dyDescent="0.25">
      <c r="B15" s="45">
        <v>52</v>
      </c>
      <c r="C15" s="9">
        <f>Mortality!C13</f>
        <v>9660.5020999999997</v>
      </c>
      <c r="D15" s="11">
        <f t="shared" si="1"/>
        <v>3.1519997288753363E-3</v>
      </c>
      <c r="E15" s="9">
        <f t="shared" si="0"/>
        <v>2.6791997695440359E-3</v>
      </c>
      <c r="F15" s="5">
        <f t="shared" si="4"/>
        <v>0.01</v>
      </c>
      <c r="G15">
        <f t="shared" si="2"/>
        <v>2.6791997695440359E-3</v>
      </c>
      <c r="H15">
        <f t="shared" si="3"/>
        <v>9.9732080023045601E-3</v>
      </c>
      <c r="I15">
        <f t="shared" si="5"/>
        <v>0.98734759222815138</v>
      </c>
      <c r="J15" s="11">
        <f t="shared" si="6"/>
        <v>0.82546816699141579</v>
      </c>
    </row>
    <row r="16" spans="2:10" x14ac:dyDescent="0.25">
      <c r="B16" s="45">
        <v>53</v>
      </c>
      <c r="C16" s="9">
        <f>Mortality!C14</f>
        <v>9630.0522000000001</v>
      </c>
      <c r="D16" s="11">
        <f t="shared" si="1"/>
        <v>3.5389943161471581E-3</v>
      </c>
      <c r="E16" s="9">
        <f t="shared" si="0"/>
        <v>3.0081451687250845E-3</v>
      </c>
      <c r="F16" s="5">
        <f t="shared" si="4"/>
        <v>0.01</v>
      </c>
      <c r="G16">
        <f t="shared" si="2"/>
        <v>3.0081451687250845E-3</v>
      </c>
      <c r="H16">
        <f t="shared" si="3"/>
        <v>9.9699185483127489E-3</v>
      </c>
      <c r="I16">
        <f t="shared" si="5"/>
        <v>0.9870219362829622</v>
      </c>
      <c r="J16" s="11">
        <f t="shared" si="6"/>
        <v>0.81502400713995993</v>
      </c>
    </row>
    <row r="17" spans="2:10" x14ac:dyDescent="0.25">
      <c r="B17" s="45">
        <v>54</v>
      </c>
      <c r="C17" s="9">
        <f>Mortality!C15</f>
        <v>9595.9714999999997</v>
      </c>
      <c r="D17" s="11">
        <f t="shared" si="1"/>
        <v>3.9760018045071977E-3</v>
      </c>
      <c r="E17" s="9">
        <f t="shared" si="0"/>
        <v>3.3796015338311181E-3</v>
      </c>
      <c r="F17" s="5">
        <f t="shared" si="4"/>
        <v>0.01</v>
      </c>
      <c r="G17">
        <f t="shared" si="2"/>
        <v>3.3796015338311181E-3</v>
      </c>
      <c r="H17">
        <f t="shared" si="3"/>
        <v>9.9662039846616889E-3</v>
      </c>
      <c r="I17">
        <f t="shared" si="5"/>
        <v>0.98665419448150726</v>
      </c>
      <c r="J17" s="11">
        <f t="shared" si="6"/>
        <v>0.8044465736443821</v>
      </c>
    </row>
    <row r="18" spans="2:10" x14ac:dyDescent="0.25">
      <c r="B18" s="45">
        <v>55</v>
      </c>
      <c r="C18" s="9">
        <f>Mortality!C16</f>
        <v>9557.8179</v>
      </c>
      <c r="D18" s="11">
        <f t="shared" si="1"/>
        <v>4.4690012351041603E-3</v>
      </c>
      <c r="E18" s="9">
        <f t="shared" si="0"/>
        <v>3.7986510498385362E-3</v>
      </c>
      <c r="F18" s="5">
        <f t="shared" si="4"/>
        <v>0.01</v>
      </c>
      <c r="G18">
        <f t="shared" si="2"/>
        <v>3.7986510498385362E-3</v>
      </c>
      <c r="H18">
        <f t="shared" si="3"/>
        <v>9.9620134895016151E-3</v>
      </c>
      <c r="I18">
        <f t="shared" si="5"/>
        <v>0.98623933546065978</v>
      </c>
      <c r="J18" s="11">
        <f t="shared" si="6"/>
        <v>0.79371058612250633</v>
      </c>
    </row>
    <row r="19" spans="2:10" x14ac:dyDescent="0.25">
      <c r="B19" s="45">
        <v>56</v>
      </c>
      <c r="C19" s="9">
        <f>Mortality!C17</f>
        <v>9515.1039999999994</v>
      </c>
      <c r="D19" s="11">
        <f t="shared" si="1"/>
        <v>5.0250002522304639E-3</v>
      </c>
      <c r="E19" s="9">
        <f t="shared" si="0"/>
        <v>4.2712502143958941E-3</v>
      </c>
      <c r="F19" s="5">
        <f t="shared" si="4"/>
        <v>0.01</v>
      </c>
      <c r="G19">
        <f t="shared" si="2"/>
        <v>4.2712502143958941E-3</v>
      </c>
      <c r="H19">
        <f t="shared" si="3"/>
        <v>9.9572874978560415E-3</v>
      </c>
      <c r="I19">
        <f t="shared" si="5"/>
        <v>0.98577146228774803</v>
      </c>
      <c r="J19" s="11">
        <f t="shared" si="6"/>
        <v>0.78278860100555148</v>
      </c>
    </row>
    <row r="20" spans="2:10" x14ac:dyDescent="0.25">
      <c r="B20" s="45">
        <v>57</v>
      </c>
      <c r="C20" s="9">
        <f>Mortality!C18</f>
        <v>9467.2906000000003</v>
      </c>
      <c r="D20" s="11">
        <f t="shared" si="1"/>
        <v>5.6500008566337011E-3</v>
      </c>
      <c r="E20" s="9">
        <f t="shared" si="0"/>
        <v>4.8025007281386461E-3</v>
      </c>
      <c r="F20" s="5">
        <f t="shared" si="4"/>
        <v>0.01</v>
      </c>
      <c r="G20">
        <f t="shared" si="2"/>
        <v>4.8025007281386461E-3</v>
      </c>
      <c r="H20">
        <f t="shared" si="3"/>
        <v>9.9519749927186145E-3</v>
      </c>
      <c r="I20">
        <f t="shared" si="5"/>
        <v>0.9852455242791428</v>
      </c>
      <c r="J20" s="11">
        <f t="shared" si="6"/>
        <v>0.77165066387542303</v>
      </c>
    </row>
    <row r="21" spans="2:10" x14ac:dyDescent="0.25">
      <c r="B21" s="45">
        <v>58</v>
      </c>
      <c r="C21" s="9">
        <f>Mortality!C19</f>
        <v>9413.8004000000001</v>
      </c>
      <c r="D21" s="11">
        <f t="shared" si="1"/>
        <v>6.3519936114217234E-3</v>
      </c>
      <c r="E21" s="9">
        <f t="shared" si="0"/>
        <v>5.3991945697084648E-3</v>
      </c>
      <c r="F21" s="5">
        <f t="shared" si="4"/>
        <v>0.01</v>
      </c>
      <c r="G21">
        <f t="shared" si="2"/>
        <v>5.3991945697084648E-3</v>
      </c>
      <c r="H21">
        <f t="shared" si="3"/>
        <v>9.9460080543029156E-3</v>
      </c>
      <c r="I21">
        <f t="shared" si="5"/>
        <v>0.9846547973759886</v>
      </c>
      <c r="J21" s="11">
        <f t="shared" si="6"/>
        <v>0.76026536289028979</v>
      </c>
    </row>
    <row r="22" spans="2:10" x14ac:dyDescent="0.25">
      <c r="B22" s="45">
        <v>59</v>
      </c>
      <c r="C22" s="9">
        <f>Mortality!C20</f>
        <v>9354.0040000000008</v>
      </c>
      <c r="D22" s="11">
        <f t="shared" si="1"/>
        <v>7.1400012230058343E-3</v>
      </c>
      <c r="E22" s="9">
        <f t="shared" si="0"/>
        <v>6.0690010395549592E-3</v>
      </c>
      <c r="F22" s="5">
        <f t="shared" si="4"/>
        <v>0.01</v>
      </c>
      <c r="G22">
        <f t="shared" si="2"/>
        <v>6.0690010395549592E-3</v>
      </c>
      <c r="H22">
        <f t="shared" si="3"/>
        <v>9.9393099896044508E-3</v>
      </c>
      <c r="I22">
        <f t="shared" si="5"/>
        <v>0.98399168897084055</v>
      </c>
      <c r="J22" s="11">
        <f t="shared" si="6"/>
        <v>0.7485989368487207</v>
      </c>
    </row>
    <row r="23" spans="2:10" x14ac:dyDescent="0.25">
      <c r="B23" s="45">
        <v>60</v>
      </c>
      <c r="C23" s="9">
        <f>Mortality!C21</f>
        <v>9287.2163999999993</v>
      </c>
      <c r="D23" s="11">
        <f t="shared" si="1"/>
        <v>8.022005387965301E-3</v>
      </c>
      <c r="E23" s="9">
        <f t="shared" si="0"/>
        <v>6.818704579770506E-3</v>
      </c>
      <c r="F23" s="5">
        <f t="shared" si="4"/>
        <v>0.01</v>
      </c>
      <c r="G23">
        <f t="shared" si="2"/>
        <v>6.818704579770506E-3</v>
      </c>
      <c r="H23">
        <f t="shared" si="3"/>
        <v>9.9318129542022952E-3</v>
      </c>
      <c r="I23">
        <f t="shared" si="5"/>
        <v>0.98324948246602717</v>
      </c>
      <c r="J23" s="11">
        <f t="shared" si="6"/>
        <v>0.73661513223154829</v>
      </c>
    </row>
    <row r="24" spans="2:10" x14ac:dyDescent="0.25">
      <c r="B24" s="45">
        <v>61</v>
      </c>
      <c r="C24" s="9">
        <f>Mortality!C22</f>
        <v>9212.7142999999996</v>
      </c>
      <c r="D24" s="11">
        <f t="shared" si="1"/>
        <v>9.008995318567416E-3</v>
      </c>
      <c r="E24" s="9">
        <f t="shared" si="0"/>
        <v>7.6576460207823036E-3</v>
      </c>
      <c r="F24" s="5">
        <f t="shared" si="4"/>
        <v>0.01</v>
      </c>
      <c r="G24">
        <f t="shared" si="2"/>
        <v>7.6576460207823036E-3</v>
      </c>
      <c r="H24">
        <f t="shared" si="3"/>
        <v>9.9234235397921769E-3</v>
      </c>
      <c r="I24">
        <f t="shared" si="5"/>
        <v>0.98241893043942552</v>
      </c>
      <c r="J24" s="11">
        <f t="shared" si="6"/>
        <v>0.72427644754331399</v>
      </c>
    </row>
    <row r="25" spans="2:10" x14ac:dyDescent="0.25">
      <c r="B25" s="45">
        <v>62</v>
      </c>
      <c r="C25" s="9">
        <f>Mortality!C23</f>
        <v>9129.7170000000006</v>
      </c>
      <c r="D25" s="11">
        <f t="shared" si="1"/>
        <v>1.0112000185766986E-2</v>
      </c>
      <c r="E25" s="9">
        <f t="shared" si="0"/>
        <v>8.5952001579019388E-3</v>
      </c>
      <c r="F25" s="5">
        <f t="shared" si="4"/>
        <v>0.01</v>
      </c>
      <c r="G25">
        <f t="shared" si="2"/>
        <v>8.5952001579019388E-3</v>
      </c>
      <c r="H25">
        <f t="shared" si="3"/>
        <v>9.9140479984209801E-3</v>
      </c>
      <c r="I25">
        <f t="shared" si="5"/>
        <v>0.98149075184367707</v>
      </c>
      <c r="J25" s="11">
        <f t="shared" si="6"/>
        <v>0.71154289293796924</v>
      </c>
    </row>
    <row r="26" spans="2:10" x14ac:dyDescent="0.25">
      <c r="B26" s="45">
        <v>63</v>
      </c>
      <c r="C26" s="9">
        <f>Mortality!C24</f>
        <v>9037.3973000000005</v>
      </c>
      <c r="D26" s="11">
        <f t="shared" si="1"/>
        <v>1.1343996130390421E-2</v>
      </c>
      <c r="E26" s="9">
        <f t="shared" si="0"/>
        <v>9.6423967108318579E-3</v>
      </c>
      <c r="F26" s="5">
        <f t="shared" si="4"/>
        <v>0.01</v>
      </c>
      <c r="G26">
        <f t="shared" si="2"/>
        <v>9.6423967108318579E-3</v>
      </c>
      <c r="H26">
        <f t="shared" si="3"/>
        <v>9.9035760328916814E-3</v>
      </c>
      <c r="I26">
        <f t="shared" si="5"/>
        <v>0.98045402725627639</v>
      </c>
      <c r="J26" s="11">
        <f t="shared" si="6"/>
        <v>0.69837276895871248</v>
      </c>
    </row>
    <row r="27" spans="2:10" x14ac:dyDescent="0.25">
      <c r="B27" s="45">
        <v>64</v>
      </c>
      <c r="C27" s="9">
        <f>Mortality!C25</f>
        <v>8934.8770999999997</v>
      </c>
      <c r="D27" s="11">
        <f t="shared" si="1"/>
        <v>1.271600031297564E-2</v>
      </c>
      <c r="E27" s="9">
        <f t="shared" si="0"/>
        <v>1.0808600266029294E-2</v>
      </c>
      <c r="F27" s="5">
        <f t="shared" si="4"/>
        <v>0.01</v>
      </c>
      <c r="G27">
        <f t="shared" si="2"/>
        <v>1.0808600266029294E-2</v>
      </c>
      <c r="H27">
        <f t="shared" si="3"/>
        <v>9.8919139973397078E-3</v>
      </c>
      <c r="I27">
        <f t="shared" si="5"/>
        <v>0.97929948573663106</v>
      </c>
      <c r="J27" s="11">
        <f t="shared" si="6"/>
        <v>0.68472239385168665</v>
      </c>
    </row>
    <row r="28" spans="2:10" x14ac:dyDescent="0.25">
      <c r="B28" s="45">
        <v>65</v>
      </c>
      <c r="C28" s="9">
        <f>Mortality!C26</f>
        <v>8821.2612000000008</v>
      </c>
      <c r="D28" s="11">
        <f t="shared" si="1"/>
        <v>1.4243008698121435E-2</v>
      </c>
      <c r="E28" s="9">
        <f t="shared" si="0"/>
        <v>1.210655739340322E-2</v>
      </c>
      <c r="F28" s="5">
        <f t="shared" si="4"/>
        <v>0.01</v>
      </c>
      <c r="G28">
        <f t="shared" si="2"/>
        <v>1.210655739340322E-2</v>
      </c>
      <c r="H28">
        <f t="shared" si="3"/>
        <v>9.8789344260659679E-3</v>
      </c>
      <c r="I28">
        <f t="shared" si="5"/>
        <v>0.97801450818053071</v>
      </c>
      <c r="J28" s="11">
        <f t="shared" si="6"/>
        <v>0.67054828817131173</v>
      </c>
    </row>
    <row r="29" spans="2:10" x14ac:dyDescent="0.25">
      <c r="B29" s="45">
        <v>66</v>
      </c>
      <c r="C29" s="9">
        <f>Mortality!C27</f>
        <v>8695.6198999999997</v>
      </c>
      <c r="D29" s="11">
        <f t="shared" si="1"/>
        <v>1.5939990661275279E-2</v>
      </c>
      <c r="E29" s="9">
        <f t="shared" si="0"/>
        <v>1.3548992062083987E-2</v>
      </c>
      <c r="F29" s="5">
        <f t="shared" si="4"/>
        <v>0.01</v>
      </c>
      <c r="G29">
        <f t="shared" si="2"/>
        <v>1.3548992062083987E-2</v>
      </c>
      <c r="H29">
        <f t="shared" si="3"/>
        <v>9.8645100793791612E-3</v>
      </c>
      <c r="I29">
        <f t="shared" si="5"/>
        <v>0.97658649785853691</v>
      </c>
      <c r="J29" s="11">
        <f t="shared" si="6"/>
        <v>0.65580595426716226</v>
      </c>
    </row>
    <row r="30" spans="2:10" x14ac:dyDescent="0.25">
      <c r="B30" s="45">
        <v>67</v>
      </c>
      <c r="C30" s="9">
        <f>Mortality!C28</f>
        <v>8557.0118000000002</v>
      </c>
      <c r="D30" s="11">
        <f t="shared" si="1"/>
        <v>1.7824002533220865E-2</v>
      </c>
      <c r="E30" s="9">
        <f t="shared" si="0"/>
        <v>1.5150402153237735E-2</v>
      </c>
      <c r="F30" s="5">
        <f t="shared" si="4"/>
        <v>0.01</v>
      </c>
      <c r="G30">
        <f t="shared" si="2"/>
        <v>1.5150402153237735E-2</v>
      </c>
      <c r="H30">
        <f t="shared" si="3"/>
        <v>9.8484959784676234E-3</v>
      </c>
      <c r="I30">
        <f t="shared" si="5"/>
        <v>0.9750011018682947</v>
      </c>
      <c r="J30" s="11">
        <f t="shared" si="6"/>
        <v>0.64045124015254384</v>
      </c>
    </row>
    <row r="31" spans="2:10" x14ac:dyDescent="0.25">
      <c r="B31" s="45">
        <v>68</v>
      </c>
      <c r="C31" s="9">
        <f>Mortality!C29</f>
        <v>8404.4915999999994</v>
      </c>
      <c r="D31" s="11">
        <f t="shared" si="1"/>
        <v>1.991300699259416E-2</v>
      </c>
      <c r="E31" s="9">
        <f t="shared" si="0"/>
        <v>1.6926055943705037E-2</v>
      </c>
      <c r="F31" s="5">
        <f t="shared" si="4"/>
        <v>0.01</v>
      </c>
      <c r="G31">
        <f t="shared" si="2"/>
        <v>1.6926055943705037E-2</v>
      </c>
      <c r="H31">
        <f t="shared" si="3"/>
        <v>9.8307394405629505E-3</v>
      </c>
      <c r="I31">
        <f t="shared" si="5"/>
        <v>0.9732432046157321</v>
      </c>
      <c r="J31" s="11">
        <f t="shared" si="6"/>
        <v>0.62444066484164606</v>
      </c>
    </row>
    <row r="32" spans="2:10" x14ac:dyDescent="0.25">
      <c r="B32" s="45">
        <v>69</v>
      </c>
      <c r="C32" s="9">
        <f>Mortality!C30</f>
        <v>8237.1329000000005</v>
      </c>
      <c r="D32" s="11">
        <f t="shared" si="1"/>
        <v>2.2225998077559306E-2</v>
      </c>
      <c r="E32" s="9">
        <f t="shared" si="0"/>
        <v>1.8892098365925411E-2</v>
      </c>
      <c r="F32" s="5">
        <v>0</v>
      </c>
      <c r="G32">
        <f t="shared" si="2"/>
        <v>1.8892098365925411E-2</v>
      </c>
      <c r="H32">
        <f t="shared" si="3"/>
        <v>0</v>
      </c>
      <c r="I32">
        <f t="shared" si="5"/>
        <v>0.98110790163407458</v>
      </c>
      <c r="J32" s="11">
        <f t="shared" si="6"/>
        <v>0.60773263374286191</v>
      </c>
    </row>
    <row r="33" spans="2:10" x14ac:dyDescent="0.25">
      <c r="B33" s="46">
        <v>70</v>
      </c>
      <c r="C33" s="14">
        <f>Mortality!C31</f>
        <v>8054.0544</v>
      </c>
      <c r="D33" s="16"/>
      <c r="E33" s="14"/>
      <c r="F33" s="15"/>
      <c r="G33" s="15"/>
      <c r="H33" s="15"/>
      <c r="I33" s="15"/>
      <c r="J33" s="16"/>
    </row>
  </sheetData>
  <mergeCells count="3">
    <mergeCell ref="C5:D5"/>
    <mergeCell ref="E5:J5"/>
    <mergeCell ref="E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L34"/>
  <sheetViews>
    <sheetView workbookViewId="0">
      <pane ySplit="6" topLeftCell="A9" activePane="bottomLeft" state="frozen"/>
      <selection pane="bottomLeft" activeCell="A7" sqref="A7"/>
    </sheetView>
  </sheetViews>
  <sheetFormatPr defaultRowHeight="15" x14ac:dyDescent="0.25"/>
  <cols>
    <col min="2" max="2" width="7.42578125" customWidth="1"/>
    <col min="3" max="3" width="11.5703125" customWidth="1"/>
    <col min="4" max="5" width="14.85546875" customWidth="1"/>
    <col min="6" max="6" width="10.85546875" customWidth="1"/>
    <col min="7" max="7" width="9.28515625" bestFit="1" customWidth="1"/>
    <col min="8" max="8" width="9.5703125" bestFit="1" customWidth="1"/>
    <col min="9" max="9" width="12.7109375" customWidth="1"/>
    <col min="10" max="10" width="15" customWidth="1"/>
    <col min="11" max="11" width="6" customWidth="1"/>
    <col min="12" max="12" width="4.42578125" bestFit="1" customWidth="1"/>
    <col min="13" max="14" width="15" customWidth="1"/>
    <col min="15" max="15" width="5.85546875" customWidth="1"/>
    <col min="16" max="16" width="6.28515625" bestFit="1" customWidth="1"/>
    <col min="17" max="17" width="12.28515625" customWidth="1"/>
    <col min="19" max="19" width="6.5703125" bestFit="1" customWidth="1"/>
    <col min="21" max="21" width="8.42578125" customWidth="1"/>
    <col min="24" max="24" width="13.42578125" customWidth="1"/>
    <col min="25" max="25" width="9.28515625" bestFit="1" customWidth="1"/>
    <col min="26" max="26" width="9.85546875" customWidth="1"/>
    <col min="29" max="29" width="12.42578125" customWidth="1"/>
    <col min="33" max="33" width="9.5703125" bestFit="1" customWidth="1"/>
    <col min="34" max="34" width="11.140625" customWidth="1"/>
    <col min="37" max="37" width="11.140625" customWidth="1"/>
  </cols>
  <sheetData>
    <row r="1" spans="2:38" s="37" customFormat="1" x14ac:dyDescent="0.25">
      <c r="F1"/>
      <c r="G1"/>
      <c r="H1"/>
      <c r="I1"/>
      <c r="J1"/>
      <c r="K1"/>
      <c r="L1"/>
      <c r="M1"/>
      <c r="N1"/>
      <c r="O1"/>
      <c r="Q1" s="37">
        <v>1</v>
      </c>
      <c r="R1" s="37">
        <v>1</v>
      </c>
      <c r="S1" s="62">
        <v>2</v>
      </c>
      <c r="T1" s="62"/>
      <c r="U1" s="62"/>
      <c r="V1" s="62"/>
      <c r="W1" s="37">
        <v>1</v>
      </c>
      <c r="X1" s="37">
        <v>1</v>
      </c>
      <c r="Y1" s="37">
        <v>2</v>
      </c>
      <c r="Z1" s="37">
        <v>2</v>
      </c>
      <c r="AA1" s="37">
        <v>2</v>
      </c>
      <c r="AB1" s="37">
        <v>2</v>
      </c>
      <c r="AC1" s="37">
        <v>1</v>
      </c>
      <c r="AD1" s="37">
        <v>0.5</v>
      </c>
      <c r="AE1" s="37">
        <v>1</v>
      </c>
      <c r="AF1" s="37">
        <v>0.5</v>
      </c>
      <c r="AG1" s="37">
        <v>0.5</v>
      </c>
      <c r="AH1" s="37">
        <v>0.5</v>
      </c>
      <c r="AJ1" s="37">
        <v>0.5</v>
      </c>
      <c r="AK1" s="37">
        <v>0.5</v>
      </c>
      <c r="AL1" s="37">
        <v>1</v>
      </c>
    </row>
    <row r="3" spans="2:38" x14ac:dyDescent="0.25">
      <c r="C3" s="59" t="s">
        <v>42</v>
      </c>
      <c r="D3" s="61"/>
      <c r="E3" s="61"/>
      <c r="F3" s="61"/>
      <c r="G3" s="61"/>
      <c r="H3" s="61"/>
      <c r="I3" s="61"/>
      <c r="J3" s="60"/>
      <c r="K3" s="3"/>
      <c r="L3" s="38"/>
      <c r="M3" s="39"/>
      <c r="N3" s="40"/>
      <c r="O3" s="3"/>
      <c r="P3" s="54"/>
      <c r="Q3" s="59" t="s">
        <v>41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0"/>
    </row>
    <row r="4" spans="2:38" x14ac:dyDescent="0.25">
      <c r="C4" s="9"/>
      <c r="G4" s="10">
        <v>0.06</v>
      </c>
      <c r="H4" s="17"/>
      <c r="I4" s="10">
        <v>0.01</v>
      </c>
      <c r="J4" s="11"/>
      <c r="L4" s="9"/>
      <c r="N4" s="11"/>
      <c r="P4" s="45"/>
      <c r="Q4" s="9"/>
      <c r="S4" s="5"/>
      <c r="T4" s="41"/>
      <c r="U4" s="42"/>
      <c r="V4" s="42"/>
      <c r="W4" s="41"/>
      <c r="X4" s="27"/>
      <c r="Y4" s="26">
        <v>100000</v>
      </c>
      <c r="Z4" s="26"/>
      <c r="AA4" s="42"/>
      <c r="AE4" s="5"/>
      <c r="AH4" s="11"/>
    </row>
    <row r="5" spans="2:38" ht="45" customHeight="1" x14ac:dyDescent="0.25">
      <c r="B5" s="1" t="s">
        <v>3</v>
      </c>
      <c r="C5" s="18" t="s">
        <v>17</v>
      </c>
      <c r="D5" s="1" t="s">
        <v>16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9" t="s">
        <v>15</v>
      </c>
      <c r="K5" s="1"/>
      <c r="L5" s="64" t="s">
        <v>78</v>
      </c>
      <c r="M5" s="65"/>
      <c r="N5" s="66"/>
      <c r="O5" s="48"/>
      <c r="P5" s="55" t="s">
        <v>3</v>
      </c>
      <c r="Q5" s="18" t="s">
        <v>19</v>
      </c>
      <c r="R5" s="1" t="s">
        <v>12</v>
      </c>
      <c r="S5" s="63" t="s">
        <v>24</v>
      </c>
      <c r="T5" s="63"/>
      <c r="U5" s="63" t="s">
        <v>25</v>
      </c>
      <c r="V5" s="63"/>
      <c r="W5" s="1" t="s">
        <v>13</v>
      </c>
      <c r="X5" s="1" t="s">
        <v>14</v>
      </c>
      <c r="Y5" s="1" t="s">
        <v>20</v>
      </c>
      <c r="Z5" s="1" t="s">
        <v>82</v>
      </c>
      <c r="AA5" s="1" t="s">
        <v>21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45</v>
      </c>
      <c r="AG5" s="1" t="s">
        <v>31</v>
      </c>
      <c r="AH5" s="19" t="s">
        <v>32</v>
      </c>
      <c r="AJ5" s="1" t="s">
        <v>46</v>
      </c>
      <c r="AK5" s="1" t="s">
        <v>35</v>
      </c>
      <c r="AL5" s="1" t="s">
        <v>33</v>
      </c>
    </row>
    <row r="6" spans="2:38" ht="18.75" x14ac:dyDescent="0.35">
      <c r="C6" s="9"/>
      <c r="J6" s="11"/>
      <c r="L6" s="9" t="s">
        <v>0</v>
      </c>
      <c r="M6" t="s">
        <v>6</v>
      </c>
      <c r="N6" s="11" t="s">
        <v>8</v>
      </c>
      <c r="P6" s="45"/>
      <c r="Q6" s="9"/>
      <c r="S6" t="s">
        <v>22</v>
      </c>
      <c r="T6" t="s">
        <v>23</v>
      </c>
      <c r="U6" t="s">
        <v>22</v>
      </c>
      <c r="V6" t="s">
        <v>23</v>
      </c>
      <c r="AH6" s="11"/>
    </row>
    <row r="7" spans="2:38" x14ac:dyDescent="0.25">
      <c r="C7" s="9"/>
      <c r="J7" s="11"/>
      <c r="L7" s="9"/>
      <c r="N7" s="11"/>
      <c r="P7" s="45"/>
      <c r="Q7" s="9"/>
      <c r="T7" s="6"/>
      <c r="AH7" s="11"/>
    </row>
    <row r="8" spans="2:38" x14ac:dyDescent="0.25">
      <c r="B8">
        <v>1</v>
      </c>
      <c r="C8" s="20">
        <v>1500</v>
      </c>
      <c r="D8" s="10">
        <v>0.45</v>
      </c>
      <c r="E8" s="21">
        <v>0</v>
      </c>
      <c r="F8" s="21">
        <f>C8*D8</f>
        <v>675</v>
      </c>
      <c r="G8" s="21">
        <f>-$G$4*F8</f>
        <v>-40.5</v>
      </c>
      <c r="H8" s="21">
        <f t="shared" ref="H8:H32" si="0">SUM(E8:G8)*UF_Growth_Rate</f>
        <v>28.552499999999998</v>
      </c>
      <c r="I8" s="21">
        <f>SUM(E8:H8)*-$I$4</f>
        <v>-6.6305250000000004</v>
      </c>
      <c r="J8" s="22">
        <f>SUM(E8:I8)</f>
        <v>656.42197499999997</v>
      </c>
      <c r="K8" s="21"/>
      <c r="L8" s="49">
        <v>45</v>
      </c>
      <c r="M8" s="47">
        <f>i!G8</f>
        <v>1.2452480470395149E-3</v>
      </c>
      <c r="N8" s="50">
        <f>i!I8</f>
        <v>0.92384814555648842</v>
      </c>
      <c r="O8" s="47"/>
      <c r="P8" s="45">
        <v>1</v>
      </c>
      <c r="Q8" s="28">
        <f>C8-F8</f>
        <v>825</v>
      </c>
      <c r="R8" s="6">
        <f>-G8</f>
        <v>40.5</v>
      </c>
      <c r="S8" s="29">
        <f>-Initial_commission*C8</f>
        <v>-375</v>
      </c>
      <c r="T8" s="6">
        <v>0</v>
      </c>
      <c r="U8" s="29">
        <f>-Initial_expense</f>
        <v>-250</v>
      </c>
      <c r="V8" s="29">
        <v>0</v>
      </c>
      <c r="W8" s="6">
        <f t="shared" ref="W8:W32" si="1">SUM(Q8:V8)*NUF_Interest_rate</f>
        <v>6.0125000000000002</v>
      </c>
      <c r="X8" s="6">
        <f>-I8</f>
        <v>6.6305250000000004</v>
      </c>
      <c r="Y8" s="6">
        <f>-MAX($Y$4-J8,0)*M8</f>
        <v>-123.70739652154892</v>
      </c>
      <c r="Z8" s="6">
        <f>0</f>
        <v>0</v>
      </c>
      <c r="AA8" s="21">
        <f t="shared" ref="AA8:AA31" si="2">-Claim_expense*(1-N8)</f>
        <v>-3.807592722175579</v>
      </c>
      <c r="AB8" s="6">
        <f>SUM(Q8:AA8)</f>
        <v>125.62803575627548</v>
      </c>
      <c r="AC8" s="30">
        <v>1</v>
      </c>
      <c r="AD8" s="6">
        <f>AC8*AB8</f>
        <v>125.62803575627548</v>
      </c>
      <c r="AE8" s="31">
        <f t="shared" ref="AE8:AE32" si="3">(1+Risk_discount_rate)^-B8</f>
        <v>0.9174311926605504</v>
      </c>
      <c r="AF8" s="6">
        <f>AD8*AE8</f>
        <v>115.25507867548208</v>
      </c>
      <c r="AG8" s="21">
        <f t="shared" ref="AG8:AG32" si="4">C8*AC8</f>
        <v>1500</v>
      </c>
      <c r="AH8" s="22">
        <f>AG8</f>
        <v>1500</v>
      </c>
      <c r="AJ8" s="6">
        <f>SUM(AF8:AF32)</f>
        <v>535.37383806986259</v>
      </c>
      <c r="AK8" s="6">
        <f>SUM(AH8:AH32)</f>
        <v>21780.398371211322</v>
      </c>
      <c r="AL8" s="8">
        <f>AJ8/AK8</f>
        <v>2.4580534705807018E-2</v>
      </c>
    </row>
    <row r="9" spans="2:38" x14ac:dyDescent="0.25">
      <c r="B9">
        <v>2</v>
      </c>
      <c r="C9" s="20">
        <v>1500</v>
      </c>
      <c r="D9" s="10">
        <v>0.45</v>
      </c>
      <c r="E9" s="21">
        <f>J8</f>
        <v>656.42197499999997</v>
      </c>
      <c r="F9" s="21">
        <f>C9*D9</f>
        <v>675</v>
      </c>
      <c r="G9" s="21">
        <f>-$G$4*F9</f>
        <v>-40.5</v>
      </c>
      <c r="H9" s="21">
        <f t="shared" si="0"/>
        <v>58.091488874999996</v>
      </c>
      <c r="I9" s="21">
        <f>SUM(E9:H9)*-$I$4</f>
        <v>-13.490134638750002</v>
      </c>
      <c r="J9" s="22">
        <f>SUM(E9:I9)</f>
        <v>1335.52332923625</v>
      </c>
      <c r="K9" s="21"/>
      <c r="L9" s="49">
        <v>46</v>
      </c>
      <c r="M9" s="47">
        <f>i!G9</f>
        <v>1.3787053486941005E-3</v>
      </c>
      <c r="N9" s="50">
        <f>i!I9</f>
        <v>0.94869022991874064</v>
      </c>
      <c r="O9" s="47"/>
      <c r="P9" s="45">
        <v>2</v>
      </c>
      <c r="Q9" s="28">
        <f t="shared" ref="Q9" si="5">C9-F9</f>
        <v>825</v>
      </c>
      <c r="R9" s="6">
        <f>-G9</f>
        <v>40.5</v>
      </c>
      <c r="S9" s="29">
        <v>0</v>
      </c>
      <c r="T9" s="6">
        <f t="shared" ref="T9:T32" si="6">-Renewal_commission*C9</f>
        <v>-37.5</v>
      </c>
      <c r="U9" s="29">
        <v>0</v>
      </c>
      <c r="V9" s="29">
        <f t="shared" ref="V9:V32" si="7">-Renewal_expense</f>
        <v>-60</v>
      </c>
      <c r="W9" s="6">
        <f t="shared" si="1"/>
        <v>19.200000000000003</v>
      </c>
      <c r="X9" s="6">
        <f t="shared" ref="X9:X13" si="8">-I9</f>
        <v>13.490134638750002</v>
      </c>
      <c r="Y9" s="6">
        <f t="shared" ref="Y9:Y32" si="9">-MAX($Y$4-J9,0)*M9</f>
        <v>-136.02924171208628</v>
      </c>
      <c r="Z9" s="6">
        <f>0</f>
        <v>0</v>
      </c>
      <c r="AA9" s="21">
        <f t="shared" si="2"/>
        <v>-2.5654885040629685</v>
      </c>
      <c r="AB9" s="6">
        <f t="shared" ref="AB9:AB13" si="10">SUM(Q9:AA9)</f>
        <v>662.09540442260084</v>
      </c>
      <c r="AC9" s="30">
        <f t="shared" ref="AC9:AC32" si="11">AC8*N8</f>
        <v>0.92384814555648842</v>
      </c>
      <c r="AD9" s="6">
        <f t="shared" ref="AD9:AD32" si="12">AC9*AB9</f>
        <v>611.675611557293</v>
      </c>
      <c r="AE9" s="31">
        <f t="shared" si="3"/>
        <v>0.84167999326655996</v>
      </c>
      <c r="AF9" s="6">
        <f t="shared" ref="AF9:AF32" si="13">AD9*AE9</f>
        <v>514.83512461686132</v>
      </c>
      <c r="AG9" s="21">
        <f t="shared" si="4"/>
        <v>1385.7722183347325</v>
      </c>
      <c r="AH9" s="22">
        <f>AG9*AE8</f>
        <v>1271.3506590226903</v>
      </c>
    </row>
    <row r="10" spans="2:38" x14ac:dyDescent="0.25">
      <c r="B10">
        <v>3</v>
      </c>
      <c r="C10" s="20">
        <v>1850</v>
      </c>
      <c r="D10" s="10">
        <v>1</v>
      </c>
      <c r="E10" s="21">
        <f t="shared" ref="E10:E32" si="14">J9</f>
        <v>1335.52332923625</v>
      </c>
      <c r="F10" s="21">
        <f t="shared" ref="F10:F32" si="15">C10*D10</f>
        <v>1850</v>
      </c>
      <c r="G10" s="21">
        <f t="shared" ref="G10:G32" si="16">-$G$4*F10</f>
        <v>-111</v>
      </c>
      <c r="H10" s="21">
        <f t="shared" si="0"/>
        <v>138.35354981563125</v>
      </c>
      <c r="I10" s="21">
        <f t="shared" ref="I10:I32" si="17">SUM(E10:H10)*-$I$4</f>
        <v>-32.128768790518812</v>
      </c>
      <c r="J10" s="22">
        <f t="shared" ref="J10:J32" si="18">SUM(E10:I10)</f>
        <v>3180.7481102613624</v>
      </c>
      <c r="K10" s="21"/>
      <c r="L10" s="49">
        <v>47</v>
      </c>
      <c r="M10" s="47">
        <f>i!G10</f>
        <v>1.5317013763956058E-3</v>
      </c>
      <c r="N10" s="50">
        <f>i!I10</f>
        <v>0.98848361563736842</v>
      </c>
      <c r="O10" s="47"/>
      <c r="P10" s="45">
        <v>3</v>
      </c>
      <c r="Q10" s="28">
        <f t="shared" ref="Q10:Q13" si="19">C10-F10</f>
        <v>0</v>
      </c>
      <c r="R10" s="6">
        <f t="shared" ref="R10:R13" si="20">-G10</f>
        <v>111</v>
      </c>
      <c r="S10" s="29">
        <v>0</v>
      </c>
      <c r="T10" s="6">
        <f t="shared" si="6"/>
        <v>-46.25</v>
      </c>
      <c r="U10" s="29">
        <v>0</v>
      </c>
      <c r="V10" s="29">
        <f t="shared" si="7"/>
        <v>-60</v>
      </c>
      <c r="W10" s="6">
        <f t="shared" si="1"/>
        <v>0.11875000000000001</v>
      </c>
      <c r="X10" s="6">
        <f t="shared" si="8"/>
        <v>32.128768790518812</v>
      </c>
      <c r="Y10" s="6">
        <f t="shared" si="9"/>
        <v>-148.29818138110551</v>
      </c>
      <c r="Z10" s="6">
        <f>0</f>
        <v>0</v>
      </c>
      <c r="AA10" s="21">
        <f t="shared" si="2"/>
        <v>-0.5758192181315791</v>
      </c>
      <c r="AB10" s="6">
        <f t="shared" si="10"/>
        <v>-111.87648180871828</v>
      </c>
      <c r="AC10" s="30">
        <f t="shared" si="11"/>
        <v>0.87644570961798718</v>
      </c>
      <c r="AD10" s="6">
        <f t="shared" si="12"/>
        <v>-98.053662488405934</v>
      </c>
      <c r="AE10" s="31">
        <f t="shared" si="3"/>
        <v>0.77218348006106419</v>
      </c>
      <c r="AF10" s="6">
        <f t="shared" si="13"/>
        <v>-75.715418333030314</v>
      </c>
      <c r="AG10" s="21">
        <f t="shared" si="4"/>
        <v>1621.4245627932762</v>
      </c>
      <c r="AH10" s="22">
        <f t="shared" ref="AH10:AH32" si="21">AG10*AE9</f>
        <v>1364.7206150940797</v>
      </c>
    </row>
    <row r="11" spans="2:38" x14ac:dyDescent="0.25">
      <c r="B11">
        <v>4</v>
      </c>
      <c r="C11" s="20">
        <v>2000</v>
      </c>
      <c r="D11" s="10">
        <v>1</v>
      </c>
      <c r="E11" s="21">
        <f t="shared" si="14"/>
        <v>3180.7481102613624</v>
      </c>
      <c r="F11" s="21">
        <f t="shared" si="15"/>
        <v>2000</v>
      </c>
      <c r="G11" s="21">
        <f t="shared" si="16"/>
        <v>-120</v>
      </c>
      <c r="H11" s="21">
        <f t="shared" si="0"/>
        <v>227.73366496176129</v>
      </c>
      <c r="I11" s="21">
        <f t="shared" si="17"/>
        <v>-52.884817752231228</v>
      </c>
      <c r="J11" s="22">
        <f t="shared" si="18"/>
        <v>5235.5969574708915</v>
      </c>
      <c r="K11" s="21"/>
      <c r="L11" s="49">
        <v>48</v>
      </c>
      <c r="M11" s="47">
        <f>i!G11</f>
        <v>1.7067938498286732E-3</v>
      </c>
      <c r="N11" s="50">
        <f>i!I11</f>
        <v>0.98831027408866967</v>
      </c>
      <c r="O11" s="47"/>
      <c r="P11" s="45">
        <v>4</v>
      </c>
      <c r="Q11" s="28">
        <f t="shared" si="19"/>
        <v>0</v>
      </c>
      <c r="R11" s="6">
        <f t="shared" si="20"/>
        <v>120</v>
      </c>
      <c r="S11" s="29">
        <v>0</v>
      </c>
      <c r="T11" s="6">
        <f t="shared" si="6"/>
        <v>-50</v>
      </c>
      <c r="U11" s="29">
        <v>0</v>
      </c>
      <c r="V11" s="29">
        <f t="shared" si="7"/>
        <v>-60</v>
      </c>
      <c r="W11" s="6">
        <f t="shared" si="1"/>
        <v>0.25</v>
      </c>
      <c r="X11" s="6">
        <f t="shared" si="8"/>
        <v>52.884817752231228</v>
      </c>
      <c r="Y11" s="6">
        <f t="shared" si="9"/>
        <v>-161.74330029567429</v>
      </c>
      <c r="Z11" s="6">
        <f>0</f>
        <v>0</v>
      </c>
      <c r="AA11" s="21">
        <f t="shared" si="2"/>
        <v>-0.58448629556651643</v>
      </c>
      <c r="AB11" s="6">
        <f t="shared" si="10"/>
        <v>-99.192968839009581</v>
      </c>
      <c r="AC11" s="30">
        <f t="shared" si="11"/>
        <v>0.86635222395304701</v>
      </c>
      <c r="AD11" s="6">
        <f t="shared" si="12"/>
        <v>-85.936049154181248</v>
      </c>
      <c r="AE11" s="31">
        <f t="shared" si="3"/>
        <v>0.7084252110651964</v>
      </c>
      <c r="AF11" s="6">
        <f t="shared" si="13"/>
        <v>-60.879263760159944</v>
      </c>
      <c r="AG11" s="21">
        <f t="shared" si="4"/>
        <v>1732.7044479060939</v>
      </c>
      <c r="AH11" s="22">
        <f t="shared" si="21"/>
        <v>1337.9657505014125</v>
      </c>
    </row>
    <row r="12" spans="2:38" x14ac:dyDescent="0.25">
      <c r="B12">
        <v>5</v>
      </c>
      <c r="C12" s="20">
        <v>2250</v>
      </c>
      <c r="D12" s="10">
        <v>1</v>
      </c>
      <c r="E12" s="21">
        <f t="shared" si="14"/>
        <v>5235.5969574708915</v>
      </c>
      <c r="F12" s="21">
        <f t="shared" si="15"/>
        <v>2250</v>
      </c>
      <c r="G12" s="21">
        <f t="shared" si="16"/>
        <v>-135</v>
      </c>
      <c r="H12" s="21">
        <f t="shared" si="0"/>
        <v>330.77686308619013</v>
      </c>
      <c r="I12" s="21">
        <f t="shared" si="17"/>
        <v>-76.813738205570814</v>
      </c>
      <c r="J12" s="22">
        <f t="shared" si="18"/>
        <v>7604.5600823515106</v>
      </c>
      <c r="K12" s="21"/>
      <c r="L12" s="49">
        <v>49</v>
      </c>
      <c r="M12" s="47">
        <f>i!G12</f>
        <v>1.9048552702972772E-3</v>
      </c>
      <c r="N12" s="50">
        <f>i!I12</f>
        <v>0.98811419328240568</v>
      </c>
      <c r="O12" s="47"/>
      <c r="P12" s="45">
        <v>5</v>
      </c>
      <c r="Q12" s="28">
        <f t="shared" si="19"/>
        <v>0</v>
      </c>
      <c r="R12" s="6">
        <f t="shared" si="20"/>
        <v>135</v>
      </c>
      <c r="S12" s="29">
        <v>0</v>
      </c>
      <c r="T12" s="6">
        <f t="shared" si="6"/>
        <v>-56.25</v>
      </c>
      <c r="U12" s="29">
        <v>0</v>
      </c>
      <c r="V12" s="29">
        <f t="shared" si="7"/>
        <v>-60</v>
      </c>
      <c r="W12" s="6">
        <f t="shared" si="1"/>
        <v>0.46875</v>
      </c>
      <c r="X12" s="6">
        <f t="shared" si="8"/>
        <v>76.813738205570814</v>
      </c>
      <c r="Y12" s="6">
        <f t="shared" si="9"/>
        <v>-175.99994067856815</v>
      </c>
      <c r="Z12" s="6">
        <f>0</f>
        <v>0</v>
      </c>
      <c r="AA12" s="21">
        <f t="shared" si="2"/>
        <v>-0.5942903358797158</v>
      </c>
      <c r="AB12" s="6">
        <f t="shared" si="10"/>
        <v>-80.561742808877057</v>
      </c>
      <c r="AC12" s="30">
        <f t="shared" si="11"/>
        <v>0.85622480391236444</v>
      </c>
      <c r="AD12" s="6">
        <f t="shared" si="12"/>
        <v>-68.978962439369099</v>
      </c>
      <c r="AE12" s="31">
        <f t="shared" si="3"/>
        <v>0.64993138629834524</v>
      </c>
      <c r="AF12" s="6">
        <f t="shared" si="13"/>
        <v>-44.831592683640643</v>
      </c>
      <c r="AG12" s="21">
        <f t="shared" si="4"/>
        <v>1926.50580880282</v>
      </c>
      <c r="AH12" s="22">
        <f t="shared" si="21"/>
        <v>1364.7852842194645</v>
      </c>
    </row>
    <row r="13" spans="2:38" x14ac:dyDescent="0.25">
      <c r="B13">
        <v>6</v>
      </c>
      <c r="C13" s="20">
        <v>3000</v>
      </c>
      <c r="D13" s="10">
        <v>1.05</v>
      </c>
      <c r="E13" s="21">
        <f t="shared" si="14"/>
        <v>7604.5600823515106</v>
      </c>
      <c r="F13" s="21">
        <f t="shared" si="15"/>
        <v>3150</v>
      </c>
      <c r="G13" s="21">
        <f t="shared" si="16"/>
        <v>-189</v>
      </c>
      <c r="H13" s="21">
        <f t="shared" si="0"/>
        <v>475.45020370581796</v>
      </c>
      <c r="I13" s="21">
        <f t="shared" si="17"/>
        <v>-110.41010286057328</v>
      </c>
      <c r="J13" s="22">
        <f t="shared" si="18"/>
        <v>10930.600183196755</v>
      </c>
      <c r="K13" s="21"/>
      <c r="L13" s="49">
        <v>50</v>
      </c>
      <c r="M13" s="47">
        <f>i!G13</f>
        <v>2.1318018744669216E-3</v>
      </c>
      <c r="N13" s="50">
        <f>i!I13</f>
        <v>0.98788951614427778</v>
      </c>
      <c r="O13" s="47"/>
      <c r="P13" s="45">
        <v>6</v>
      </c>
      <c r="Q13" s="28">
        <f t="shared" si="19"/>
        <v>-150</v>
      </c>
      <c r="R13" s="6">
        <f t="shared" si="20"/>
        <v>189</v>
      </c>
      <c r="S13" s="29">
        <v>0</v>
      </c>
      <c r="T13" s="6">
        <f t="shared" si="6"/>
        <v>-75</v>
      </c>
      <c r="U13" s="29">
        <v>0</v>
      </c>
      <c r="V13" s="29">
        <f t="shared" si="7"/>
        <v>-60</v>
      </c>
      <c r="W13" s="6">
        <f t="shared" si="1"/>
        <v>-2.4000000000000004</v>
      </c>
      <c r="X13" s="6">
        <f t="shared" si="8"/>
        <v>110.41010286057328</v>
      </c>
      <c r="Y13" s="6">
        <f t="shared" si="9"/>
        <v>-189.87831348710483</v>
      </c>
      <c r="Z13" s="6">
        <f>0</f>
        <v>0</v>
      </c>
      <c r="AA13" s="21">
        <f t="shared" si="2"/>
        <v>-0.60552419278611103</v>
      </c>
      <c r="AB13" s="6">
        <f t="shared" si="10"/>
        <v>-178.47373481931766</v>
      </c>
      <c r="AC13" s="30">
        <f t="shared" si="11"/>
        <v>0.84604788138625198</v>
      </c>
      <c r="AD13" s="6">
        <f t="shared" si="12"/>
        <v>-150.99732522697545</v>
      </c>
      <c r="AE13" s="31">
        <f t="shared" si="3"/>
        <v>0.5962673268792158</v>
      </c>
      <c r="AF13" s="6">
        <f t="shared" si="13"/>
        <v>-90.034771479000227</v>
      </c>
      <c r="AG13" s="21">
        <f t="shared" si="4"/>
        <v>2538.1436441587557</v>
      </c>
      <c r="AH13" s="22">
        <f t="shared" si="21"/>
        <v>1649.6192172724341</v>
      </c>
    </row>
    <row r="14" spans="2:38" x14ac:dyDescent="0.25">
      <c r="B14">
        <v>7</v>
      </c>
      <c r="C14" s="9">
        <f>$C$13</f>
        <v>3000</v>
      </c>
      <c r="D14" s="5">
        <f>$D$13</f>
        <v>1.05</v>
      </c>
      <c r="E14" s="21">
        <f t="shared" si="14"/>
        <v>10930.600183196755</v>
      </c>
      <c r="F14" s="21">
        <f t="shared" si="15"/>
        <v>3150</v>
      </c>
      <c r="G14" s="21">
        <f t="shared" si="16"/>
        <v>-189</v>
      </c>
      <c r="H14" s="21">
        <f t="shared" si="0"/>
        <v>625.122008243854</v>
      </c>
      <c r="I14" s="21">
        <f t="shared" si="17"/>
        <v>-145.1672219144061</v>
      </c>
      <c r="J14" s="22">
        <f t="shared" si="18"/>
        <v>14371.554969526203</v>
      </c>
      <c r="K14" s="21"/>
      <c r="L14" s="49">
        <v>51</v>
      </c>
      <c r="M14" s="47">
        <f>i!G14</f>
        <v>2.3876507761392703E-3</v>
      </c>
      <c r="N14" s="50">
        <f>i!I14</f>
        <v>0.98763622573162213</v>
      </c>
      <c r="O14" s="47"/>
      <c r="P14" s="45">
        <v>7</v>
      </c>
      <c r="Q14" s="28">
        <f t="shared" ref="Q14:Q32" si="22">C14-F14</f>
        <v>-150</v>
      </c>
      <c r="R14" s="6">
        <f t="shared" ref="R14:R32" si="23">-G14</f>
        <v>189</v>
      </c>
      <c r="S14" s="29">
        <v>0</v>
      </c>
      <c r="T14" s="6">
        <f t="shared" si="6"/>
        <v>-75</v>
      </c>
      <c r="U14" s="29">
        <v>0</v>
      </c>
      <c r="V14" s="29">
        <f t="shared" si="7"/>
        <v>-60</v>
      </c>
      <c r="W14" s="6">
        <f t="shared" si="1"/>
        <v>-2.4000000000000004</v>
      </c>
      <c r="X14" s="6">
        <f t="shared" ref="X14:X32" si="24">-I14</f>
        <v>145.1672219144061</v>
      </c>
      <c r="Y14" s="6">
        <f t="shared" si="9"/>
        <v>-204.45082323660961</v>
      </c>
      <c r="Z14" s="6">
        <f>0</f>
        <v>0</v>
      </c>
      <c r="AA14" s="21">
        <f t="shared" si="2"/>
        <v>-0.61818871341889348</v>
      </c>
      <c r="AB14" s="6">
        <f t="shared" ref="AB14:AB32" si="25">SUM(Q14:AA14)</f>
        <v>-158.30179003562242</v>
      </c>
      <c r="AC14" s="30">
        <f t="shared" si="11"/>
        <v>0.83580183217755577</v>
      </c>
      <c r="AD14" s="6">
        <f t="shared" si="12"/>
        <v>-132.30892614875995</v>
      </c>
      <c r="AE14" s="31">
        <f t="shared" si="3"/>
        <v>0.54703424484331731</v>
      </c>
      <c r="AF14" s="6">
        <f t="shared" si="13"/>
        <v>-72.377513501817134</v>
      </c>
      <c r="AG14" s="21">
        <f t="shared" si="4"/>
        <v>2507.4054965326673</v>
      </c>
      <c r="AH14" s="22">
        <f t="shared" si="21"/>
        <v>1495.0839728197864</v>
      </c>
    </row>
    <row r="15" spans="2:38" x14ac:dyDescent="0.25">
      <c r="B15">
        <v>8</v>
      </c>
      <c r="C15" s="9">
        <f t="shared" ref="C15:D15" si="26">C14</f>
        <v>3000</v>
      </c>
      <c r="D15" s="5">
        <f t="shared" si="26"/>
        <v>1.05</v>
      </c>
      <c r="E15" s="21">
        <f t="shared" si="14"/>
        <v>14371.554969526203</v>
      </c>
      <c r="F15" s="21">
        <f t="shared" si="15"/>
        <v>3150</v>
      </c>
      <c r="G15" s="21">
        <f t="shared" si="16"/>
        <v>-189</v>
      </c>
      <c r="H15" s="21">
        <f t="shared" si="0"/>
        <v>779.96497362867899</v>
      </c>
      <c r="I15" s="21">
        <f t="shared" si="17"/>
        <v>-181.12519943154879</v>
      </c>
      <c r="J15" s="22">
        <f t="shared" si="18"/>
        <v>17931.394743723329</v>
      </c>
      <c r="K15" s="21"/>
      <c r="L15" s="49">
        <v>52</v>
      </c>
      <c r="M15" s="47">
        <f>i!G15</f>
        <v>2.6791997695440359E-3</v>
      </c>
      <c r="N15" s="50">
        <f>i!I15</f>
        <v>0.98734759222815138</v>
      </c>
      <c r="O15" s="47"/>
      <c r="P15" s="45">
        <v>8</v>
      </c>
      <c r="Q15" s="28">
        <f t="shared" si="22"/>
        <v>-150</v>
      </c>
      <c r="R15" s="6">
        <f t="shared" si="23"/>
        <v>189</v>
      </c>
      <c r="S15" s="29">
        <v>0</v>
      </c>
      <c r="T15" s="6">
        <f t="shared" si="6"/>
        <v>-75</v>
      </c>
      <c r="U15" s="29">
        <v>0</v>
      </c>
      <c r="V15" s="29">
        <f t="shared" si="7"/>
        <v>-60</v>
      </c>
      <c r="W15" s="6">
        <f t="shared" si="1"/>
        <v>-2.4000000000000004</v>
      </c>
      <c r="X15" s="6">
        <f t="shared" si="24"/>
        <v>181.12519943154879</v>
      </c>
      <c r="Y15" s="6">
        <f t="shared" si="9"/>
        <v>-219.8781882894169</v>
      </c>
      <c r="Z15" s="6">
        <f>0</f>
        <v>0</v>
      </c>
      <c r="AA15" s="21">
        <f t="shared" si="2"/>
        <v>-0.63262038859243086</v>
      </c>
      <c r="AB15" s="6">
        <f t="shared" si="25"/>
        <v>-137.78560924646055</v>
      </c>
      <c r="AC15" s="30">
        <f t="shared" si="11"/>
        <v>0.82546816699141579</v>
      </c>
      <c r="AD15" s="6">
        <f t="shared" si="12"/>
        <v>-113.73763430247126</v>
      </c>
      <c r="AE15" s="31">
        <f t="shared" si="3"/>
        <v>0.50186627967276809</v>
      </c>
      <c r="AF15" s="6">
        <f t="shared" si="13"/>
        <v>-57.081083386163066</v>
      </c>
      <c r="AG15" s="21">
        <f t="shared" si="4"/>
        <v>2476.4045009742472</v>
      </c>
      <c r="AH15" s="22">
        <f t="shared" si="21"/>
        <v>1354.6780661170394</v>
      </c>
    </row>
    <row r="16" spans="2:38" x14ac:dyDescent="0.25">
      <c r="B16">
        <v>9</v>
      </c>
      <c r="C16" s="9">
        <f t="shared" ref="C16:C32" si="27">C15</f>
        <v>3000</v>
      </c>
      <c r="D16" s="5">
        <f t="shared" ref="D16:D32" si="28">D15</f>
        <v>1.05</v>
      </c>
      <c r="E16" s="21">
        <f t="shared" si="14"/>
        <v>17931.394743723329</v>
      </c>
      <c r="F16" s="21">
        <f t="shared" si="15"/>
        <v>3150</v>
      </c>
      <c r="G16" s="21">
        <f t="shared" si="16"/>
        <v>-189</v>
      </c>
      <c r="H16" s="21">
        <f t="shared" si="0"/>
        <v>940.15776346754978</v>
      </c>
      <c r="I16" s="21">
        <f t="shared" si="17"/>
        <v>-218.32552507190877</v>
      </c>
      <c r="J16" s="22">
        <f t="shared" si="18"/>
        <v>21614.226982118969</v>
      </c>
      <c r="K16" s="21"/>
      <c r="L16" s="49">
        <v>53</v>
      </c>
      <c r="M16" s="47">
        <f>i!G16</f>
        <v>3.0081451687250845E-3</v>
      </c>
      <c r="N16" s="50">
        <f>i!I16</f>
        <v>0.9870219362829622</v>
      </c>
      <c r="O16" s="47"/>
      <c r="P16" s="45">
        <v>9</v>
      </c>
      <c r="Q16" s="28">
        <f t="shared" si="22"/>
        <v>-150</v>
      </c>
      <c r="R16" s="6">
        <f t="shared" si="23"/>
        <v>189</v>
      </c>
      <c r="S16" s="29">
        <v>0</v>
      </c>
      <c r="T16" s="6">
        <f t="shared" si="6"/>
        <v>-75</v>
      </c>
      <c r="U16" s="29">
        <v>0</v>
      </c>
      <c r="V16" s="29">
        <f t="shared" si="7"/>
        <v>-60</v>
      </c>
      <c r="W16" s="6">
        <f t="shared" si="1"/>
        <v>-2.4000000000000004</v>
      </c>
      <c r="X16" s="6">
        <f t="shared" si="24"/>
        <v>218.32552507190877</v>
      </c>
      <c r="Y16" s="6">
        <f t="shared" si="9"/>
        <v>-235.79578440051992</v>
      </c>
      <c r="Z16" s="6">
        <f>0</f>
        <v>0</v>
      </c>
      <c r="AA16" s="21">
        <f t="shared" si="2"/>
        <v>-0.64890318585189011</v>
      </c>
      <c r="AB16" s="6">
        <f t="shared" si="25"/>
        <v>-116.51916251446305</v>
      </c>
      <c r="AC16" s="30">
        <f t="shared" si="11"/>
        <v>0.81502400713995993</v>
      </c>
      <c r="AD16" s="6">
        <f t="shared" si="12"/>
        <v>-94.965914741129879</v>
      </c>
      <c r="AE16" s="31">
        <f t="shared" si="3"/>
        <v>0.46042777951630098</v>
      </c>
      <c r="AF16" s="6">
        <f t="shared" si="13"/>
        <v>-43.724945253992786</v>
      </c>
      <c r="AG16" s="21">
        <f t="shared" si="4"/>
        <v>2445.07202141988</v>
      </c>
      <c r="AH16" s="22">
        <f t="shared" si="21"/>
        <v>1227.0991989219699</v>
      </c>
    </row>
    <row r="17" spans="2:34" x14ac:dyDescent="0.25">
      <c r="B17">
        <v>10</v>
      </c>
      <c r="C17" s="9">
        <f t="shared" si="27"/>
        <v>3000</v>
      </c>
      <c r="D17" s="5">
        <f t="shared" si="28"/>
        <v>1.05</v>
      </c>
      <c r="E17" s="21">
        <f t="shared" si="14"/>
        <v>21614.226982118969</v>
      </c>
      <c r="F17" s="21">
        <f t="shared" si="15"/>
        <v>3150</v>
      </c>
      <c r="G17" s="21">
        <f t="shared" si="16"/>
        <v>-189</v>
      </c>
      <c r="H17" s="21">
        <f t="shared" si="0"/>
        <v>1105.8852141953537</v>
      </c>
      <c r="I17" s="21">
        <f t="shared" si="17"/>
        <v>-256.81112196314325</v>
      </c>
      <c r="J17" s="22">
        <f t="shared" si="18"/>
        <v>25424.30107435118</v>
      </c>
      <c r="K17" s="21"/>
      <c r="L17" s="49">
        <v>54</v>
      </c>
      <c r="M17" s="47">
        <f>i!G17</f>
        <v>3.3796015338311181E-3</v>
      </c>
      <c r="N17" s="50">
        <f>i!I17</f>
        <v>0.98665419448150726</v>
      </c>
      <c r="O17" s="47"/>
      <c r="P17" s="45">
        <v>10</v>
      </c>
      <c r="Q17" s="28">
        <f t="shared" si="22"/>
        <v>-150</v>
      </c>
      <c r="R17" s="6">
        <f t="shared" si="23"/>
        <v>189</v>
      </c>
      <c r="S17" s="29">
        <v>0</v>
      </c>
      <c r="T17" s="6">
        <f t="shared" si="6"/>
        <v>-75</v>
      </c>
      <c r="U17" s="29">
        <v>0</v>
      </c>
      <c r="V17" s="29">
        <f t="shared" si="7"/>
        <v>-60</v>
      </c>
      <c r="W17" s="6">
        <f t="shared" si="1"/>
        <v>-2.4000000000000004</v>
      </c>
      <c r="X17" s="6">
        <f t="shared" si="24"/>
        <v>256.81112196314325</v>
      </c>
      <c r="Y17" s="6">
        <f t="shared" si="9"/>
        <v>-252.03614647565041</v>
      </c>
      <c r="Z17" s="6">
        <f>0</f>
        <v>0</v>
      </c>
      <c r="AA17" s="21">
        <f t="shared" si="2"/>
        <v>-0.66729027592463686</v>
      </c>
      <c r="AB17" s="6">
        <f t="shared" si="25"/>
        <v>-94.29231478843181</v>
      </c>
      <c r="AC17" s="30">
        <f t="shared" si="11"/>
        <v>0.8044465736443821</v>
      </c>
      <c r="AD17" s="6">
        <f t="shared" si="12"/>
        <v>-75.853129552551465</v>
      </c>
      <c r="AE17" s="31">
        <f t="shared" si="3"/>
        <v>0.42241080689568894</v>
      </c>
      <c r="AF17" s="6">
        <f t="shared" si="13"/>
        <v>-32.041181659856491</v>
      </c>
      <c r="AG17" s="21">
        <f t="shared" si="4"/>
        <v>2413.3397209331465</v>
      </c>
      <c r="AH17" s="22">
        <f t="shared" si="21"/>
        <v>1111.1686489277381</v>
      </c>
    </row>
    <row r="18" spans="2:34" x14ac:dyDescent="0.25">
      <c r="B18">
        <v>11</v>
      </c>
      <c r="C18" s="9">
        <f t="shared" si="27"/>
        <v>3000</v>
      </c>
      <c r="D18" s="5">
        <f t="shared" si="28"/>
        <v>1.05</v>
      </c>
      <c r="E18" s="21">
        <f t="shared" si="14"/>
        <v>25424.30107435118</v>
      </c>
      <c r="F18" s="21">
        <f t="shared" si="15"/>
        <v>3150</v>
      </c>
      <c r="G18" s="21">
        <f t="shared" si="16"/>
        <v>-189</v>
      </c>
      <c r="H18" s="21">
        <f t="shared" si="0"/>
        <v>1277.338548345803</v>
      </c>
      <c r="I18" s="21">
        <f t="shared" si="17"/>
        <v>-296.62639622696986</v>
      </c>
      <c r="J18" s="22">
        <f t="shared" si="18"/>
        <v>29366.013226470015</v>
      </c>
      <c r="K18" s="21"/>
      <c r="L18" s="49">
        <v>55</v>
      </c>
      <c r="M18" s="47">
        <f>i!G18</f>
        <v>3.7986510498385362E-3</v>
      </c>
      <c r="N18" s="50">
        <f>i!I18</f>
        <v>0.98623933546065978</v>
      </c>
      <c r="O18" s="47"/>
      <c r="P18" s="45">
        <v>11</v>
      </c>
      <c r="Q18" s="28">
        <f t="shared" si="22"/>
        <v>-150</v>
      </c>
      <c r="R18" s="6">
        <f t="shared" si="23"/>
        <v>189</v>
      </c>
      <c r="S18" s="29">
        <v>0</v>
      </c>
      <c r="T18" s="6">
        <f t="shared" si="6"/>
        <v>-75</v>
      </c>
      <c r="U18" s="29">
        <v>0</v>
      </c>
      <c r="V18" s="29">
        <f t="shared" si="7"/>
        <v>-60</v>
      </c>
      <c r="W18" s="6">
        <f t="shared" si="1"/>
        <v>-2.4000000000000004</v>
      </c>
      <c r="X18" s="6">
        <f t="shared" si="24"/>
        <v>296.62639622696986</v>
      </c>
      <c r="Y18" s="6">
        <f t="shared" si="9"/>
        <v>-268.31386801155099</v>
      </c>
      <c r="Z18" s="6">
        <f>0</f>
        <v>0</v>
      </c>
      <c r="AA18" s="21">
        <f t="shared" si="2"/>
        <v>-0.68803322696701086</v>
      </c>
      <c r="AB18" s="6">
        <f t="shared" si="25"/>
        <v>-70.775505011548148</v>
      </c>
      <c r="AC18" s="30">
        <f t="shared" si="11"/>
        <v>0.79371058612250633</v>
      </c>
      <c r="AD18" s="6">
        <f t="shared" si="12"/>
        <v>-56.175267565832264</v>
      </c>
      <c r="AE18" s="31">
        <f t="shared" si="3"/>
        <v>0.38753285036301738</v>
      </c>
      <c r="AF18" s="6">
        <f t="shared" si="13"/>
        <v>-21.769761559692139</v>
      </c>
      <c r="AG18" s="21">
        <f t="shared" si="4"/>
        <v>2381.1317583675191</v>
      </c>
      <c r="AH18" s="22">
        <f t="shared" si="21"/>
        <v>1005.8157873769743</v>
      </c>
    </row>
    <row r="19" spans="2:34" x14ac:dyDescent="0.25">
      <c r="B19">
        <v>12</v>
      </c>
      <c r="C19" s="9">
        <f t="shared" si="27"/>
        <v>3000</v>
      </c>
      <c r="D19" s="5">
        <f t="shared" si="28"/>
        <v>1.05</v>
      </c>
      <c r="E19" s="21">
        <f t="shared" si="14"/>
        <v>29366.013226470015</v>
      </c>
      <c r="F19" s="21">
        <f t="shared" si="15"/>
        <v>3150</v>
      </c>
      <c r="G19" s="21">
        <f t="shared" si="16"/>
        <v>-189</v>
      </c>
      <c r="H19" s="21">
        <f t="shared" si="0"/>
        <v>1454.7155951911507</v>
      </c>
      <c r="I19" s="21">
        <f t="shared" si="17"/>
        <v>-337.81728821661164</v>
      </c>
      <c r="J19" s="22">
        <f t="shared" si="18"/>
        <v>33443.911533444552</v>
      </c>
      <c r="K19" s="21"/>
      <c r="L19" s="49">
        <v>56</v>
      </c>
      <c r="M19" s="47">
        <f>i!G19</f>
        <v>4.2712502143958941E-3</v>
      </c>
      <c r="N19" s="50">
        <f>i!I19</f>
        <v>0.98577146228774803</v>
      </c>
      <c r="O19" s="47"/>
      <c r="P19" s="45">
        <v>12</v>
      </c>
      <c r="Q19" s="28">
        <f t="shared" si="22"/>
        <v>-150</v>
      </c>
      <c r="R19" s="6">
        <f t="shared" si="23"/>
        <v>189</v>
      </c>
      <c r="S19" s="29">
        <v>0</v>
      </c>
      <c r="T19" s="6">
        <f t="shared" si="6"/>
        <v>-75</v>
      </c>
      <c r="U19" s="29">
        <v>0</v>
      </c>
      <c r="V19" s="29">
        <f t="shared" si="7"/>
        <v>-60</v>
      </c>
      <c r="W19" s="6">
        <f t="shared" si="1"/>
        <v>-2.4000000000000004</v>
      </c>
      <c r="X19" s="6">
        <f t="shared" si="24"/>
        <v>337.81728821661164</v>
      </c>
      <c r="Y19" s="6">
        <f t="shared" si="9"/>
        <v>-284.27770713212703</v>
      </c>
      <c r="Z19" s="6">
        <f>0</f>
        <v>0</v>
      </c>
      <c r="AA19" s="21">
        <f t="shared" si="2"/>
        <v>-0.71142688561259826</v>
      </c>
      <c r="AB19" s="6">
        <f t="shared" si="25"/>
        <v>-45.571845801127992</v>
      </c>
      <c r="AC19" s="30">
        <f t="shared" si="11"/>
        <v>0.78278860100555148</v>
      </c>
      <c r="AD19" s="6">
        <f t="shared" si="12"/>
        <v>-35.673121419905698</v>
      </c>
      <c r="AE19" s="31">
        <f t="shared" si="3"/>
        <v>0.35553472510368567</v>
      </c>
      <c r="AF19" s="6">
        <f t="shared" si="13"/>
        <v>-12.683033417616572</v>
      </c>
      <c r="AG19" s="21">
        <f t="shared" si="4"/>
        <v>2348.3658030166544</v>
      </c>
      <c r="AH19" s="22">
        <f t="shared" si="21"/>
        <v>910.06889333808022</v>
      </c>
    </row>
    <row r="20" spans="2:34" x14ac:dyDescent="0.25">
      <c r="B20">
        <v>13</v>
      </c>
      <c r="C20" s="9">
        <f t="shared" si="27"/>
        <v>3000</v>
      </c>
      <c r="D20" s="5">
        <f t="shared" si="28"/>
        <v>1.05</v>
      </c>
      <c r="E20" s="21">
        <f t="shared" si="14"/>
        <v>33443.911533444552</v>
      </c>
      <c r="F20" s="21">
        <f t="shared" si="15"/>
        <v>3150</v>
      </c>
      <c r="G20" s="21">
        <f t="shared" si="16"/>
        <v>-189</v>
      </c>
      <c r="H20" s="21">
        <f t="shared" si="0"/>
        <v>1638.2210190050048</v>
      </c>
      <c r="I20" s="21">
        <f t="shared" si="17"/>
        <v>-380.43132552449555</v>
      </c>
      <c r="J20" s="22">
        <f t="shared" si="18"/>
        <v>37662.701226925063</v>
      </c>
      <c r="K20" s="21"/>
      <c r="L20" s="49">
        <v>57</v>
      </c>
      <c r="M20" s="47">
        <f>i!G20</f>
        <v>4.8025007281386461E-3</v>
      </c>
      <c r="N20" s="50">
        <f>i!I20</f>
        <v>0.9852455242791428</v>
      </c>
      <c r="O20" s="47"/>
      <c r="P20" s="45">
        <v>13</v>
      </c>
      <c r="Q20" s="28">
        <f t="shared" si="22"/>
        <v>-150</v>
      </c>
      <c r="R20" s="6">
        <f t="shared" si="23"/>
        <v>189</v>
      </c>
      <c r="S20" s="29">
        <v>0</v>
      </c>
      <c r="T20" s="6">
        <f t="shared" si="6"/>
        <v>-75</v>
      </c>
      <c r="U20" s="29">
        <v>0</v>
      </c>
      <c r="V20" s="29">
        <f t="shared" si="7"/>
        <v>-60</v>
      </c>
      <c r="W20" s="6">
        <f t="shared" si="1"/>
        <v>-2.4000000000000004</v>
      </c>
      <c r="X20" s="6">
        <f t="shared" si="24"/>
        <v>380.43132552449555</v>
      </c>
      <c r="Y20" s="6">
        <f t="shared" si="9"/>
        <v>-299.37492274788872</v>
      </c>
      <c r="Z20" s="6">
        <f>0</f>
        <v>0</v>
      </c>
      <c r="AA20" s="21">
        <f t="shared" si="2"/>
        <v>-0.73772378604285982</v>
      </c>
      <c r="AB20" s="6">
        <f t="shared" si="25"/>
        <v>-18.081321009436063</v>
      </c>
      <c r="AC20" s="30">
        <f t="shared" si="11"/>
        <v>0.77165066387542303</v>
      </c>
      <c r="AD20" s="6">
        <f t="shared" si="12"/>
        <v>-13.952463360675972</v>
      </c>
      <c r="AE20" s="31">
        <f t="shared" si="3"/>
        <v>0.32617864688411524</v>
      </c>
      <c r="AF20" s="6">
        <f t="shared" si="13"/>
        <v>-4.5509956196854837</v>
      </c>
      <c r="AG20" s="21">
        <f t="shared" si="4"/>
        <v>2314.9519916262689</v>
      </c>
      <c r="AH20" s="22">
        <f t="shared" si="21"/>
        <v>823.04581997107516</v>
      </c>
    </row>
    <row r="21" spans="2:34" x14ac:dyDescent="0.25">
      <c r="B21">
        <v>14</v>
      </c>
      <c r="C21" s="9">
        <f t="shared" si="27"/>
        <v>3000</v>
      </c>
      <c r="D21" s="5">
        <f t="shared" si="28"/>
        <v>1.05</v>
      </c>
      <c r="E21" s="21">
        <f t="shared" si="14"/>
        <v>37662.701226925063</v>
      </c>
      <c r="F21" s="21">
        <f t="shared" si="15"/>
        <v>3150</v>
      </c>
      <c r="G21" s="21">
        <f t="shared" si="16"/>
        <v>-189</v>
      </c>
      <c r="H21" s="21">
        <f t="shared" si="0"/>
        <v>1828.0665552116277</v>
      </c>
      <c r="I21" s="21">
        <f t="shared" si="17"/>
        <v>-424.51767782136687</v>
      </c>
      <c r="J21" s="22">
        <f t="shared" si="18"/>
        <v>42027.250104315324</v>
      </c>
      <c r="K21" s="21"/>
      <c r="L21" s="49">
        <v>58</v>
      </c>
      <c r="M21" s="47">
        <f>i!G21</f>
        <v>5.3991945697084648E-3</v>
      </c>
      <c r="N21" s="50">
        <f>i!I21</f>
        <v>0.9846547973759886</v>
      </c>
      <c r="O21" s="47"/>
      <c r="P21" s="45">
        <v>14</v>
      </c>
      <c r="Q21" s="28">
        <f t="shared" si="22"/>
        <v>-150</v>
      </c>
      <c r="R21" s="6">
        <f t="shared" si="23"/>
        <v>189</v>
      </c>
      <c r="S21" s="29">
        <v>0</v>
      </c>
      <c r="T21" s="6">
        <f t="shared" si="6"/>
        <v>-75</v>
      </c>
      <c r="U21" s="29">
        <v>0</v>
      </c>
      <c r="V21" s="29">
        <f t="shared" si="7"/>
        <v>-60</v>
      </c>
      <c r="W21" s="6">
        <f t="shared" si="1"/>
        <v>-2.4000000000000004</v>
      </c>
      <c r="X21" s="6">
        <f t="shared" si="24"/>
        <v>424.51767782136687</v>
      </c>
      <c r="Y21" s="6">
        <f t="shared" si="9"/>
        <v>-313.00615642784766</v>
      </c>
      <c r="Z21" s="6">
        <f>0</f>
        <v>0</v>
      </c>
      <c r="AA21" s="21">
        <f t="shared" si="2"/>
        <v>-0.76726013120057002</v>
      </c>
      <c r="AB21" s="6">
        <f t="shared" si="25"/>
        <v>12.344261262318669</v>
      </c>
      <c r="AC21" s="30">
        <f t="shared" si="11"/>
        <v>0.76026536289028979</v>
      </c>
      <c r="AD21" s="6">
        <f t="shared" si="12"/>
        <v>9.3849142682092506</v>
      </c>
      <c r="AE21" s="31">
        <f t="shared" si="3"/>
        <v>0.29924646503129837</v>
      </c>
      <c r="AF21" s="6">
        <f t="shared" si="13"/>
        <v>2.8084024193834125</v>
      </c>
      <c r="AG21" s="21">
        <f t="shared" si="4"/>
        <v>2280.7960886708693</v>
      </c>
      <c r="AH21" s="22">
        <f t="shared" si="21"/>
        <v>743.94698202124664</v>
      </c>
    </row>
    <row r="22" spans="2:34" x14ac:dyDescent="0.25">
      <c r="B22">
        <v>15</v>
      </c>
      <c r="C22" s="9">
        <f t="shared" si="27"/>
        <v>3000</v>
      </c>
      <c r="D22" s="5">
        <f t="shared" si="28"/>
        <v>1.05</v>
      </c>
      <c r="E22" s="21">
        <f t="shared" si="14"/>
        <v>42027.250104315324</v>
      </c>
      <c r="F22" s="21">
        <f t="shared" si="15"/>
        <v>3150</v>
      </c>
      <c r="G22" s="21">
        <f t="shared" si="16"/>
        <v>-189</v>
      </c>
      <c r="H22" s="21">
        <f t="shared" si="0"/>
        <v>2024.4712546941896</v>
      </c>
      <c r="I22" s="21">
        <f t="shared" si="17"/>
        <v>-470.12721359009515</v>
      </c>
      <c r="J22" s="22">
        <f t="shared" si="18"/>
        <v>46542.594145419418</v>
      </c>
      <c r="K22" s="21"/>
      <c r="L22" s="49">
        <v>59</v>
      </c>
      <c r="M22" s="47">
        <f>i!G22</f>
        <v>6.0690010395549592E-3</v>
      </c>
      <c r="N22" s="50">
        <f>i!I22</f>
        <v>0.98399168897084055</v>
      </c>
      <c r="O22" s="47"/>
      <c r="P22" s="45">
        <v>15</v>
      </c>
      <c r="Q22" s="28">
        <f t="shared" si="22"/>
        <v>-150</v>
      </c>
      <c r="R22" s="6">
        <f t="shared" si="23"/>
        <v>189</v>
      </c>
      <c r="S22" s="29">
        <v>0</v>
      </c>
      <c r="T22" s="6">
        <f t="shared" si="6"/>
        <v>-75</v>
      </c>
      <c r="U22" s="29">
        <v>0</v>
      </c>
      <c r="V22" s="29">
        <f t="shared" si="7"/>
        <v>-60</v>
      </c>
      <c r="W22" s="6">
        <f t="shared" si="1"/>
        <v>-2.4000000000000004</v>
      </c>
      <c r="X22" s="6">
        <f t="shared" si="24"/>
        <v>470.12721359009515</v>
      </c>
      <c r="Y22" s="6">
        <f t="shared" si="9"/>
        <v>-324.43305170336089</v>
      </c>
      <c r="Z22" s="6">
        <f>0</f>
        <v>0</v>
      </c>
      <c r="AA22" s="21">
        <f t="shared" si="2"/>
        <v>-0.8004155514579725</v>
      </c>
      <c r="AB22" s="6">
        <f t="shared" si="25"/>
        <v>46.493746335276313</v>
      </c>
      <c r="AC22" s="30">
        <f t="shared" si="11"/>
        <v>0.7485989368487207</v>
      </c>
      <c r="AD22" s="6">
        <f t="shared" si="12"/>
        <v>34.805169076701951</v>
      </c>
      <c r="AE22" s="31">
        <f t="shared" si="3"/>
        <v>0.27453804131311776</v>
      </c>
      <c r="AF22" s="6">
        <f t="shared" si="13"/>
        <v>9.5553429458896488</v>
      </c>
      <c r="AG22" s="21">
        <f t="shared" si="4"/>
        <v>2245.7968105461623</v>
      </c>
      <c r="AH22" s="22">
        <f t="shared" si="21"/>
        <v>672.04675673450356</v>
      </c>
    </row>
    <row r="23" spans="2:34" x14ac:dyDescent="0.25">
      <c r="B23">
        <v>16</v>
      </c>
      <c r="C23" s="9">
        <f t="shared" si="27"/>
        <v>3000</v>
      </c>
      <c r="D23" s="5">
        <f t="shared" si="28"/>
        <v>1.05</v>
      </c>
      <c r="E23" s="21">
        <f t="shared" si="14"/>
        <v>46542.594145419418</v>
      </c>
      <c r="F23" s="21">
        <f t="shared" si="15"/>
        <v>3150</v>
      </c>
      <c r="G23" s="21">
        <f t="shared" si="16"/>
        <v>-189</v>
      </c>
      <c r="H23" s="21">
        <f t="shared" si="0"/>
        <v>2227.6617365438738</v>
      </c>
      <c r="I23" s="21">
        <f t="shared" si="17"/>
        <v>-517.31255881963295</v>
      </c>
      <c r="J23" s="22">
        <f t="shared" si="18"/>
        <v>51213.943323143656</v>
      </c>
      <c r="K23" s="21"/>
      <c r="L23" s="49">
        <v>60</v>
      </c>
      <c r="M23" s="47">
        <f>i!G23</f>
        <v>6.818704579770506E-3</v>
      </c>
      <c r="N23" s="50">
        <f>i!I23</f>
        <v>0.98324948246602717</v>
      </c>
      <c r="O23" s="47"/>
      <c r="P23" s="45">
        <v>16</v>
      </c>
      <c r="Q23" s="28">
        <f t="shared" si="22"/>
        <v>-150</v>
      </c>
      <c r="R23" s="6">
        <f t="shared" si="23"/>
        <v>189</v>
      </c>
      <c r="S23" s="29">
        <v>0</v>
      </c>
      <c r="T23" s="6">
        <f t="shared" si="6"/>
        <v>-75</v>
      </c>
      <c r="U23" s="29">
        <v>0</v>
      </c>
      <c r="V23" s="29">
        <f t="shared" si="7"/>
        <v>-60</v>
      </c>
      <c r="W23" s="6">
        <f t="shared" si="1"/>
        <v>-2.4000000000000004</v>
      </c>
      <c r="X23" s="6">
        <f t="shared" si="24"/>
        <v>517.31255881963295</v>
      </c>
      <c r="Y23" s="6">
        <f t="shared" si="9"/>
        <v>-332.65770809142384</v>
      </c>
      <c r="Z23" s="6">
        <f>0</f>
        <v>0</v>
      </c>
      <c r="AA23" s="21">
        <f t="shared" si="2"/>
        <v>-0.83752587669864154</v>
      </c>
      <c r="AB23" s="6">
        <f t="shared" si="25"/>
        <v>85.4173248515105</v>
      </c>
      <c r="AC23" s="30">
        <f t="shared" si="11"/>
        <v>0.73661513223154829</v>
      </c>
      <c r="AD23" s="6">
        <f t="shared" si="12"/>
        <v>62.919694040360525</v>
      </c>
      <c r="AE23" s="31">
        <f t="shared" si="3"/>
        <v>0.2518697626725851</v>
      </c>
      <c r="AF23" s="6">
        <f t="shared" si="13"/>
        <v>15.847568405377272</v>
      </c>
      <c r="AG23" s="21">
        <f t="shared" si="4"/>
        <v>2209.8453966946449</v>
      </c>
      <c r="AH23" s="22">
        <f t="shared" si="21"/>
        <v>606.68662681335752</v>
      </c>
    </row>
    <row r="24" spans="2:34" x14ac:dyDescent="0.25">
      <c r="B24">
        <v>17</v>
      </c>
      <c r="C24" s="9">
        <f t="shared" si="27"/>
        <v>3000</v>
      </c>
      <c r="D24" s="5">
        <f t="shared" si="28"/>
        <v>1.05</v>
      </c>
      <c r="E24" s="21">
        <f t="shared" si="14"/>
        <v>51213.943323143656</v>
      </c>
      <c r="F24" s="21">
        <f t="shared" si="15"/>
        <v>3150</v>
      </c>
      <c r="G24" s="21">
        <f t="shared" si="16"/>
        <v>-189</v>
      </c>
      <c r="H24" s="21">
        <f t="shared" si="0"/>
        <v>2437.8724495414644</v>
      </c>
      <c r="I24" s="21">
        <f t="shared" si="17"/>
        <v>-566.12815772685121</v>
      </c>
      <c r="J24" s="22">
        <f t="shared" si="18"/>
        <v>56046.687614958268</v>
      </c>
      <c r="K24" s="21"/>
      <c r="L24" s="49">
        <v>61</v>
      </c>
      <c r="M24" s="47">
        <f>i!G24</f>
        <v>7.6576460207823036E-3</v>
      </c>
      <c r="N24" s="50">
        <f>i!I24</f>
        <v>0.98241893043942552</v>
      </c>
      <c r="O24" s="47"/>
      <c r="P24" s="45">
        <v>17</v>
      </c>
      <c r="Q24" s="28">
        <f t="shared" si="22"/>
        <v>-150</v>
      </c>
      <c r="R24" s="6">
        <f t="shared" si="23"/>
        <v>189</v>
      </c>
      <c r="S24" s="29">
        <v>0</v>
      </c>
      <c r="T24" s="6">
        <f t="shared" si="6"/>
        <v>-75</v>
      </c>
      <c r="U24" s="29">
        <v>0</v>
      </c>
      <c r="V24" s="29">
        <f t="shared" si="7"/>
        <v>-60</v>
      </c>
      <c r="W24" s="6">
        <f t="shared" si="1"/>
        <v>-2.4000000000000004</v>
      </c>
      <c r="X24" s="6">
        <f t="shared" si="24"/>
        <v>566.12815772685121</v>
      </c>
      <c r="Y24" s="6">
        <f t="shared" si="9"/>
        <v>-336.57890768551636</v>
      </c>
      <c r="Z24" s="6">
        <f>0</f>
        <v>0</v>
      </c>
      <c r="AA24" s="21">
        <f t="shared" si="2"/>
        <v>-0.87905347802872402</v>
      </c>
      <c r="AB24" s="6">
        <f t="shared" si="25"/>
        <v>130.27019656330614</v>
      </c>
      <c r="AC24" s="30">
        <f t="shared" si="11"/>
        <v>0.72427644754331399</v>
      </c>
      <c r="AD24" s="6">
        <f t="shared" si="12"/>
        <v>94.351635187640611</v>
      </c>
      <c r="AE24" s="31">
        <f t="shared" si="3"/>
        <v>0.23107317676383954</v>
      </c>
      <c r="AF24" s="6">
        <f t="shared" si="13"/>
        <v>21.802132075670983</v>
      </c>
      <c r="AG24" s="21">
        <f t="shared" si="4"/>
        <v>2172.8293426299419</v>
      </c>
      <c r="AH24" s="22">
        <f t="shared" si="21"/>
        <v>547.2700108562326</v>
      </c>
    </row>
    <row r="25" spans="2:34" x14ac:dyDescent="0.25">
      <c r="B25">
        <v>18</v>
      </c>
      <c r="C25" s="9">
        <f t="shared" si="27"/>
        <v>3000</v>
      </c>
      <c r="D25" s="5">
        <f t="shared" si="28"/>
        <v>1.05</v>
      </c>
      <c r="E25" s="21">
        <f t="shared" si="14"/>
        <v>56046.687614958268</v>
      </c>
      <c r="F25" s="21">
        <f t="shared" si="15"/>
        <v>3150</v>
      </c>
      <c r="G25" s="21">
        <f t="shared" si="16"/>
        <v>-189</v>
      </c>
      <c r="H25" s="21">
        <f t="shared" si="0"/>
        <v>2655.345942673122</v>
      </c>
      <c r="I25" s="21">
        <f t="shared" si="17"/>
        <v>-616.63033557631388</v>
      </c>
      <c r="J25" s="22">
        <f t="shared" si="18"/>
        <v>61046.403222055073</v>
      </c>
      <c r="K25" s="21"/>
      <c r="L25" s="49">
        <v>62</v>
      </c>
      <c r="M25" s="47">
        <f>i!G25</f>
        <v>8.5952001579019388E-3</v>
      </c>
      <c r="N25" s="50">
        <f>i!I25</f>
        <v>0.98149075184367707</v>
      </c>
      <c r="O25" s="47"/>
      <c r="P25" s="45">
        <v>18</v>
      </c>
      <c r="Q25" s="28">
        <f t="shared" si="22"/>
        <v>-150</v>
      </c>
      <c r="R25" s="6">
        <f t="shared" si="23"/>
        <v>189</v>
      </c>
      <c r="S25" s="29">
        <v>0</v>
      </c>
      <c r="T25" s="6">
        <f t="shared" si="6"/>
        <v>-75</v>
      </c>
      <c r="U25" s="29">
        <v>0</v>
      </c>
      <c r="V25" s="29">
        <f t="shared" si="7"/>
        <v>-60</v>
      </c>
      <c r="W25" s="6">
        <f t="shared" si="1"/>
        <v>-2.4000000000000004</v>
      </c>
      <c r="X25" s="6">
        <f t="shared" si="24"/>
        <v>616.63033557631388</v>
      </c>
      <c r="Y25" s="6">
        <f t="shared" si="9"/>
        <v>-334.8139611766407</v>
      </c>
      <c r="Z25" s="6">
        <f>0</f>
        <v>0</v>
      </c>
      <c r="AA25" s="21">
        <f t="shared" si="2"/>
        <v>-0.92546240781614664</v>
      </c>
      <c r="AB25" s="6">
        <f t="shared" si="25"/>
        <v>182.49091199185705</v>
      </c>
      <c r="AC25" s="30">
        <f t="shared" si="11"/>
        <v>0.71154289293796924</v>
      </c>
      <c r="AD25" s="6">
        <f t="shared" si="12"/>
        <v>129.8501114535743</v>
      </c>
      <c r="AE25" s="31">
        <f t="shared" si="3"/>
        <v>0.21199374015031147</v>
      </c>
      <c r="AF25" s="6">
        <f t="shared" si="13"/>
        <v>27.527410785978013</v>
      </c>
      <c r="AG25" s="21">
        <f t="shared" si="4"/>
        <v>2134.6286788139078</v>
      </c>
      <c r="AH25" s="22">
        <f t="shared" si="21"/>
        <v>493.25543002472739</v>
      </c>
    </row>
    <row r="26" spans="2:34" x14ac:dyDescent="0.25">
      <c r="B26">
        <v>19</v>
      </c>
      <c r="C26" s="9">
        <f t="shared" si="27"/>
        <v>3000</v>
      </c>
      <c r="D26" s="5">
        <f t="shared" si="28"/>
        <v>1.05</v>
      </c>
      <c r="E26" s="21">
        <f t="shared" si="14"/>
        <v>61046.403222055073</v>
      </c>
      <c r="F26" s="21">
        <f t="shared" si="15"/>
        <v>3150</v>
      </c>
      <c r="G26" s="21">
        <f t="shared" si="16"/>
        <v>-189</v>
      </c>
      <c r="H26" s="21">
        <f t="shared" si="0"/>
        <v>2880.3331449924781</v>
      </c>
      <c r="I26" s="21">
        <f t="shared" si="17"/>
        <v>-668.87736367047546</v>
      </c>
      <c r="J26" s="22">
        <f t="shared" si="18"/>
        <v>66218.859003377074</v>
      </c>
      <c r="K26" s="21"/>
      <c r="L26" s="49">
        <v>63</v>
      </c>
      <c r="M26" s="47">
        <f>i!G26</f>
        <v>9.6423967108318579E-3</v>
      </c>
      <c r="N26" s="50">
        <f>i!I26</f>
        <v>0.98045402725627639</v>
      </c>
      <c r="O26" s="47"/>
      <c r="P26" s="45">
        <v>19</v>
      </c>
      <c r="Q26" s="28">
        <f t="shared" si="22"/>
        <v>-150</v>
      </c>
      <c r="R26" s="6">
        <f t="shared" si="23"/>
        <v>189</v>
      </c>
      <c r="S26" s="29">
        <v>0</v>
      </c>
      <c r="T26" s="6">
        <f t="shared" si="6"/>
        <v>-75</v>
      </c>
      <c r="U26" s="29">
        <v>0</v>
      </c>
      <c r="V26" s="29">
        <f t="shared" si="7"/>
        <v>-60</v>
      </c>
      <c r="W26" s="6">
        <f t="shared" si="1"/>
        <v>-2.4000000000000004</v>
      </c>
      <c r="X26" s="6">
        <f t="shared" si="24"/>
        <v>668.87736367047546</v>
      </c>
      <c r="Y26" s="6">
        <f t="shared" si="9"/>
        <v>-325.73116283398411</v>
      </c>
      <c r="Z26" s="6">
        <f>0</f>
        <v>0</v>
      </c>
      <c r="AA26" s="21">
        <f t="shared" si="2"/>
        <v>-0.97729863718618026</v>
      </c>
      <c r="AB26" s="6">
        <f t="shared" si="25"/>
        <v>243.76890219930519</v>
      </c>
      <c r="AC26" s="30">
        <f t="shared" si="11"/>
        <v>0.69837276895871248</v>
      </c>
      <c r="AD26" s="6">
        <f t="shared" si="12"/>
        <v>170.24156321495434</v>
      </c>
      <c r="AE26" s="31">
        <f t="shared" si="3"/>
        <v>0.19448966986267105</v>
      </c>
      <c r="AF26" s="6">
        <f t="shared" si="13"/>
        <v>33.110225426581515</v>
      </c>
      <c r="AG26" s="21">
        <f t="shared" si="4"/>
        <v>2095.1183068761375</v>
      </c>
      <c r="AH26" s="22">
        <f t="shared" si="21"/>
        <v>444.15196593206042</v>
      </c>
    </row>
    <row r="27" spans="2:34" x14ac:dyDescent="0.25">
      <c r="B27">
        <v>20</v>
      </c>
      <c r="C27" s="9">
        <f t="shared" si="27"/>
        <v>3000</v>
      </c>
      <c r="D27" s="5">
        <f t="shared" si="28"/>
        <v>1.05</v>
      </c>
      <c r="E27" s="21">
        <f t="shared" si="14"/>
        <v>66218.859003377074</v>
      </c>
      <c r="F27" s="21">
        <f t="shared" si="15"/>
        <v>3150</v>
      </c>
      <c r="G27" s="21">
        <f t="shared" si="16"/>
        <v>-189</v>
      </c>
      <c r="H27" s="21">
        <f t="shared" si="0"/>
        <v>3113.0936551519681</v>
      </c>
      <c r="I27" s="21">
        <f t="shared" si="17"/>
        <v>-722.92952658529043</v>
      </c>
      <c r="J27" s="22">
        <f t="shared" si="18"/>
        <v>71570.023131943759</v>
      </c>
      <c r="K27" s="21"/>
      <c r="L27" s="49">
        <v>64</v>
      </c>
      <c r="M27" s="47">
        <f>i!G27</f>
        <v>1.0808600266029294E-2</v>
      </c>
      <c r="N27" s="50">
        <f>i!I27</f>
        <v>0.97929948573663106</v>
      </c>
      <c r="O27" s="47"/>
      <c r="P27" s="45">
        <v>20</v>
      </c>
      <c r="Q27" s="28">
        <f t="shared" si="22"/>
        <v>-150</v>
      </c>
      <c r="R27" s="6">
        <f t="shared" si="23"/>
        <v>189</v>
      </c>
      <c r="S27" s="29">
        <v>0</v>
      </c>
      <c r="T27" s="6">
        <f t="shared" si="6"/>
        <v>-75</v>
      </c>
      <c r="U27" s="29">
        <v>0</v>
      </c>
      <c r="V27" s="29">
        <f t="shared" si="7"/>
        <v>-60</v>
      </c>
      <c r="W27" s="6">
        <f t="shared" si="1"/>
        <v>-2.4000000000000004</v>
      </c>
      <c r="X27" s="6">
        <f t="shared" si="24"/>
        <v>722.92952658529043</v>
      </c>
      <c r="Y27" s="6">
        <f t="shared" si="9"/>
        <v>-307.28825553927936</v>
      </c>
      <c r="Z27" s="6">
        <f>0</f>
        <v>0</v>
      </c>
      <c r="AA27" s="21">
        <f t="shared" si="2"/>
        <v>-1.035025713168447</v>
      </c>
      <c r="AB27" s="6">
        <f t="shared" si="25"/>
        <v>316.20624533284263</v>
      </c>
      <c r="AC27" s="30">
        <f t="shared" si="11"/>
        <v>0.68472239385168665</v>
      </c>
      <c r="AD27" s="6">
        <f t="shared" si="12"/>
        <v>216.51349725515772</v>
      </c>
      <c r="AE27" s="31">
        <f t="shared" si="3"/>
        <v>0.17843088978226704</v>
      </c>
      <c r="AF27" s="6">
        <f t="shared" si="13"/>
        <v>38.632695965108226</v>
      </c>
      <c r="AG27" s="21">
        <f t="shared" si="4"/>
        <v>2054.1671815550599</v>
      </c>
      <c r="AH27" s="22">
        <f t="shared" si="21"/>
        <v>399.51429698337705</v>
      </c>
    </row>
    <row r="28" spans="2:34" x14ac:dyDescent="0.25">
      <c r="B28">
        <v>21</v>
      </c>
      <c r="C28" s="9">
        <f t="shared" si="27"/>
        <v>3000</v>
      </c>
      <c r="D28" s="5">
        <f t="shared" si="28"/>
        <v>1.05</v>
      </c>
      <c r="E28" s="21">
        <f t="shared" si="14"/>
        <v>71570.023131943759</v>
      </c>
      <c r="F28" s="21">
        <f t="shared" si="15"/>
        <v>3150</v>
      </c>
      <c r="G28" s="21">
        <f t="shared" si="16"/>
        <v>-189</v>
      </c>
      <c r="H28" s="21">
        <f t="shared" si="0"/>
        <v>3353.896040937469</v>
      </c>
      <c r="I28" s="21">
        <f t="shared" si="17"/>
        <v>-778.84919172881234</v>
      </c>
      <c r="J28" s="22">
        <f t="shared" si="18"/>
        <v>77106.06998115241</v>
      </c>
      <c r="K28" s="21"/>
      <c r="L28" s="49">
        <v>65</v>
      </c>
      <c r="M28" s="47">
        <f>i!G28</f>
        <v>1.210655739340322E-2</v>
      </c>
      <c r="N28" s="50">
        <f>i!I28</f>
        <v>0.97801450818053071</v>
      </c>
      <c r="O28" s="47"/>
      <c r="P28" s="45">
        <v>21</v>
      </c>
      <c r="Q28" s="28">
        <f t="shared" si="22"/>
        <v>-150</v>
      </c>
      <c r="R28" s="6">
        <f t="shared" si="23"/>
        <v>189</v>
      </c>
      <c r="S28" s="29">
        <v>0</v>
      </c>
      <c r="T28" s="6">
        <f t="shared" si="6"/>
        <v>-75</v>
      </c>
      <c r="U28" s="29">
        <v>0</v>
      </c>
      <c r="V28" s="29">
        <f t="shared" si="7"/>
        <v>-60</v>
      </c>
      <c r="W28" s="6">
        <f t="shared" si="1"/>
        <v>-2.4000000000000004</v>
      </c>
      <c r="X28" s="6">
        <f t="shared" si="24"/>
        <v>778.84919172881234</v>
      </c>
      <c r="Y28" s="6">
        <f t="shared" si="9"/>
        <v>-277.16667773373524</v>
      </c>
      <c r="Z28" s="6">
        <f>0</f>
        <v>0</v>
      </c>
      <c r="AA28" s="21">
        <f t="shared" si="2"/>
        <v>-1.0992745909734647</v>
      </c>
      <c r="AB28" s="6">
        <f t="shared" si="25"/>
        <v>402.18323940410369</v>
      </c>
      <c r="AC28" s="30">
        <f t="shared" si="11"/>
        <v>0.67054828817131173</v>
      </c>
      <c r="AD28" s="6">
        <f t="shared" si="12"/>
        <v>269.68328271361457</v>
      </c>
      <c r="AE28" s="31">
        <f t="shared" si="3"/>
        <v>0.16369806402042844</v>
      </c>
      <c r="AF28" s="6">
        <f t="shared" si="13"/>
        <v>44.146631278892578</v>
      </c>
      <c r="AG28" s="21">
        <f t="shared" si="4"/>
        <v>2011.6448645139353</v>
      </c>
      <c r="AH28" s="22">
        <f t="shared" si="21"/>
        <v>358.93958310114948</v>
      </c>
    </row>
    <row r="29" spans="2:34" x14ac:dyDescent="0.25">
      <c r="B29">
        <v>22</v>
      </c>
      <c r="C29" s="9">
        <f t="shared" si="27"/>
        <v>3000</v>
      </c>
      <c r="D29" s="5">
        <f t="shared" si="28"/>
        <v>1.05</v>
      </c>
      <c r="E29" s="21">
        <f t="shared" si="14"/>
        <v>77106.06998115241</v>
      </c>
      <c r="F29" s="21">
        <f t="shared" si="15"/>
        <v>3150</v>
      </c>
      <c r="G29" s="21">
        <f t="shared" si="16"/>
        <v>-189</v>
      </c>
      <c r="H29" s="21">
        <f t="shared" si="0"/>
        <v>3603.0181491518583</v>
      </c>
      <c r="I29" s="21">
        <f t="shared" si="17"/>
        <v>-836.70088130304271</v>
      </c>
      <c r="J29" s="22">
        <f t="shared" si="18"/>
        <v>82833.387249001229</v>
      </c>
      <c r="K29" s="21"/>
      <c r="L29" s="49">
        <v>66</v>
      </c>
      <c r="M29" s="47">
        <f>i!G29</f>
        <v>1.3548992062083987E-2</v>
      </c>
      <c r="N29" s="50">
        <f>i!I29</f>
        <v>0.97658649785853691</v>
      </c>
      <c r="O29" s="47"/>
      <c r="P29" s="45">
        <v>22</v>
      </c>
      <c r="Q29" s="28">
        <f t="shared" si="22"/>
        <v>-150</v>
      </c>
      <c r="R29" s="6">
        <f t="shared" si="23"/>
        <v>189</v>
      </c>
      <c r="S29" s="29">
        <v>0</v>
      </c>
      <c r="T29" s="6">
        <f t="shared" si="6"/>
        <v>-75</v>
      </c>
      <c r="U29" s="29">
        <v>0</v>
      </c>
      <c r="V29" s="29">
        <f t="shared" si="7"/>
        <v>-60</v>
      </c>
      <c r="W29" s="6">
        <f t="shared" si="1"/>
        <v>-2.4000000000000004</v>
      </c>
      <c r="X29" s="6">
        <f t="shared" si="24"/>
        <v>836.70088130304271</v>
      </c>
      <c r="Y29" s="6">
        <f t="shared" si="9"/>
        <v>-232.59029989615209</v>
      </c>
      <c r="Z29" s="6">
        <f>0</f>
        <v>0</v>
      </c>
      <c r="AA29" s="21">
        <f t="shared" si="2"/>
        <v>-1.1706751070731547</v>
      </c>
      <c r="AB29" s="6">
        <f t="shared" si="25"/>
        <v>504.53990629981746</v>
      </c>
      <c r="AC29" s="30">
        <f t="shared" si="11"/>
        <v>0.65580595426716226</v>
      </c>
      <c r="AD29" s="6">
        <f t="shared" si="12"/>
        <v>330.88027471681642</v>
      </c>
      <c r="AE29" s="31">
        <f t="shared" si="3"/>
        <v>0.15018171011048481</v>
      </c>
      <c r="AF29" s="6">
        <f t="shared" si="13"/>
        <v>49.692165498798502</v>
      </c>
      <c r="AG29" s="21">
        <f t="shared" si="4"/>
        <v>1967.4178628014868</v>
      </c>
      <c r="AH29" s="22">
        <f t="shared" si="21"/>
        <v>322.06249525981229</v>
      </c>
    </row>
    <row r="30" spans="2:34" x14ac:dyDescent="0.25">
      <c r="B30">
        <v>23</v>
      </c>
      <c r="C30" s="9">
        <f t="shared" si="27"/>
        <v>3000</v>
      </c>
      <c r="D30" s="5">
        <f t="shared" si="28"/>
        <v>1.05</v>
      </c>
      <c r="E30" s="21">
        <f t="shared" si="14"/>
        <v>82833.387249001229</v>
      </c>
      <c r="F30" s="21">
        <f t="shared" si="15"/>
        <v>3150</v>
      </c>
      <c r="G30" s="21">
        <f t="shared" si="16"/>
        <v>-189</v>
      </c>
      <c r="H30" s="21">
        <f t="shared" si="0"/>
        <v>3860.747426205055</v>
      </c>
      <c r="I30" s="21">
        <f t="shared" si="17"/>
        <v>-896.55134675206284</v>
      </c>
      <c r="J30" s="22">
        <f t="shared" si="18"/>
        <v>88758.583328454217</v>
      </c>
      <c r="K30" s="21"/>
      <c r="L30" s="49">
        <v>67</v>
      </c>
      <c r="M30" s="47">
        <f>i!G30</f>
        <v>1.5150402153237735E-2</v>
      </c>
      <c r="N30" s="50">
        <f>i!I30</f>
        <v>0.9750011018682947</v>
      </c>
      <c r="O30" s="47"/>
      <c r="P30" s="45">
        <v>23</v>
      </c>
      <c r="Q30" s="28">
        <f t="shared" si="22"/>
        <v>-150</v>
      </c>
      <c r="R30" s="6">
        <f t="shared" si="23"/>
        <v>189</v>
      </c>
      <c r="S30" s="29">
        <v>0</v>
      </c>
      <c r="T30" s="6">
        <f t="shared" si="6"/>
        <v>-75</v>
      </c>
      <c r="U30" s="29">
        <v>0</v>
      </c>
      <c r="V30" s="29">
        <f t="shared" si="7"/>
        <v>-60</v>
      </c>
      <c r="W30" s="6">
        <f t="shared" si="1"/>
        <v>-2.4000000000000004</v>
      </c>
      <c r="X30" s="6">
        <f t="shared" si="24"/>
        <v>896.55134675206284</v>
      </c>
      <c r="Y30" s="6">
        <f t="shared" si="9"/>
        <v>-170.31198334602982</v>
      </c>
      <c r="Z30" s="6">
        <f>0</f>
        <v>0</v>
      </c>
      <c r="AA30" s="21">
        <f t="shared" si="2"/>
        <v>-1.2499449065852652</v>
      </c>
      <c r="AB30" s="6">
        <f t="shared" si="25"/>
        <v>626.58941849944779</v>
      </c>
      <c r="AC30" s="30">
        <f t="shared" si="11"/>
        <v>0.64045124015254384</v>
      </c>
      <c r="AD30" s="6">
        <f t="shared" si="12"/>
        <v>401.29997014443262</v>
      </c>
      <c r="AE30" s="31">
        <f t="shared" si="3"/>
        <v>0.13778138542246313</v>
      </c>
      <c r="AF30" s="6">
        <f t="shared" si="13"/>
        <v>55.291665856493019</v>
      </c>
      <c r="AG30" s="21">
        <f t="shared" si="4"/>
        <v>1921.3537204576314</v>
      </c>
      <c r="AH30" s="22">
        <f t="shared" si="21"/>
        <v>288.5521874654695</v>
      </c>
    </row>
    <row r="31" spans="2:34" x14ac:dyDescent="0.25">
      <c r="B31">
        <v>24</v>
      </c>
      <c r="C31" s="9">
        <f t="shared" si="27"/>
        <v>3000</v>
      </c>
      <c r="D31" s="5">
        <f t="shared" si="28"/>
        <v>1.05</v>
      </c>
      <c r="E31" s="21">
        <f t="shared" si="14"/>
        <v>88758.583328454217</v>
      </c>
      <c r="F31" s="21">
        <f t="shared" si="15"/>
        <v>3150</v>
      </c>
      <c r="G31" s="21">
        <f t="shared" si="16"/>
        <v>-189</v>
      </c>
      <c r="H31" s="21">
        <f t="shared" si="0"/>
        <v>4127.3812497804392</v>
      </c>
      <c r="I31" s="21">
        <f t="shared" si="17"/>
        <v>-958.46964578234656</v>
      </c>
      <c r="J31" s="22">
        <f t="shared" si="18"/>
        <v>94888.494932452304</v>
      </c>
      <c r="K31" s="21"/>
      <c r="L31" s="49">
        <v>68</v>
      </c>
      <c r="M31" s="47">
        <f>i!G31</f>
        <v>1.6926055943705037E-2</v>
      </c>
      <c r="N31" s="50">
        <f>i!I31</f>
        <v>0.9732432046157321</v>
      </c>
      <c r="O31" s="47"/>
      <c r="P31" s="45">
        <v>24</v>
      </c>
      <c r="Q31" s="28">
        <f t="shared" si="22"/>
        <v>-150</v>
      </c>
      <c r="R31" s="6">
        <f t="shared" si="23"/>
        <v>189</v>
      </c>
      <c r="S31" s="29">
        <v>0</v>
      </c>
      <c r="T31" s="6">
        <f t="shared" si="6"/>
        <v>-75</v>
      </c>
      <c r="U31" s="29">
        <v>0</v>
      </c>
      <c r="V31" s="29">
        <f t="shared" si="7"/>
        <v>-60</v>
      </c>
      <c r="W31" s="6">
        <f t="shared" si="1"/>
        <v>-2.4000000000000004</v>
      </c>
      <c r="X31" s="6">
        <f t="shared" si="24"/>
        <v>958.46964578234656</v>
      </c>
      <c r="Y31" s="6">
        <f t="shared" si="9"/>
        <v>-86.517620729844097</v>
      </c>
      <c r="Z31" s="6">
        <f>0</f>
        <v>0</v>
      </c>
      <c r="AA31" s="21">
        <f t="shared" si="2"/>
        <v>-1.3378397692133948</v>
      </c>
      <c r="AB31" s="6">
        <f t="shared" si="25"/>
        <v>772.21418528328911</v>
      </c>
      <c r="AC31" s="30">
        <f t="shared" si="11"/>
        <v>0.62444066484164606</v>
      </c>
      <c r="AD31" s="6">
        <f t="shared" si="12"/>
        <v>482.20193925844711</v>
      </c>
      <c r="AE31" s="31">
        <f t="shared" si="3"/>
        <v>0.12640494075455333</v>
      </c>
      <c r="AF31" s="6">
        <f t="shared" si="13"/>
        <v>60.95270756369473</v>
      </c>
      <c r="AG31" s="21">
        <f t="shared" si="4"/>
        <v>1873.3219945249382</v>
      </c>
      <c r="AH31" s="22">
        <f t="shared" si="21"/>
        <v>258.10889974801785</v>
      </c>
    </row>
    <row r="32" spans="2:34" x14ac:dyDescent="0.25">
      <c r="B32">
        <v>25</v>
      </c>
      <c r="C32" s="14">
        <f t="shared" si="27"/>
        <v>3000</v>
      </c>
      <c r="D32" s="23">
        <f t="shared" si="28"/>
        <v>1.05</v>
      </c>
      <c r="E32" s="24">
        <f t="shared" si="14"/>
        <v>94888.494932452304</v>
      </c>
      <c r="F32" s="24">
        <f t="shared" si="15"/>
        <v>3150</v>
      </c>
      <c r="G32" s="24">
        <f t="shared" si="16"/>
        <v>-189</v>
      </c>
      <c r="H32" s="24">
        <f t="shared" si="0"/>
        <v>4403.2272719603534</v>
      </c>
      <c r="I32" s="24">
        <f t="shared" si="17"/>
        <v>-1022.5272220441266</v>
      </c>
      <c r="J32" s="25">
        <f t="shared" si="18"/>
        <v>101230.19498236853</v>
      </c>
      <c r="K32" s="21"/>
      <c r="L32" s="51">
        <v>69</v>
      </c>
      <c r="M32" s="52">
        <f>i!G32</f>
        <v>1.8892098365925411E-2</v>
      </c>
      <c r="N32" s="53">
        <f>i!I32</f>
        <v>0.98110790163407458</v>
      </c>
      <c r="O32" s="47"/>
      <c r="P32" s="46">
        <v>25</v>
      </c>
      <c r="Q32" s="32">
        <f t="shared" si="22"/>
        <v>-150</v>
      </c>
      <c r="R32" s="33">
        <f t="shared" si="23"/>
        <v>189</v>
      </c>
      <c r="S32" s="34">
        <v>0</v>
      </c>
      <c r="T32" s="33">
        <f t="shared" si="6"/>
        <v>-75</v>
      </c>
      <c r="U32" s="34">
        <v>0</v>
      </c>
      <c r="V32" s="34">
        <f t="shared" si="7"/>
        <v>-60</v>
      </c>
      <c r="W32" s="33">
        <f t="shared" si="1"/>
        <v>-2.4000000000000004</v>
      </c>
      <c r="X32" s="33">
        <f t="shared" si="24"/>
        <v>1022.5272220441266</v>
      </c>
      <c r="Y32" s="33">
        <f t="shared" si="9"/>
        <v>0</v>
      </c>
      <c r="Z32" s="33">
        <f>0</f>
        <v>0</v>
      </c>
      <c r="AA32" s="24">
        <f>-Claim_expense</f>
        <v>-50</v>
      </c>
      <c r="AB32" s="33">
        <f t="shared" si="25"/>
        <v>874.1272220441266</v>
      </c>
      <c r="AC32" s="35">
        <f t="shared" si="11"/>
        <v>0.60773263374286191</v>
      </c>
      <c r="AD32" s="33">
        <f t="shared" si="12"/>
        <v>531.23563887920852</v>
      </c>
      <c r="AE32" s="36">
        <f t="shared" si="3"/>
        <v>0.11596783555463605</v>
      </c>
      <c r="AF32" s="33">
        <f t="shared" si="13"/>
        <v>61.606247210306073</v>
      </c>
      <c r="AG32" s="24">
        <f t="shared" si="4"/>
        <v>1823.1979012285858</v>
      </c>
      <c r="AH32" s="25">
        <f t="shared" si="21"/>
        <v>230.46122268862536</v>
      </c>
    </row>
    <row r="33" spans="12:37" x14ac:dyDescent="0.25">
      <c r="L33" s="29"/>
      <c r="M33" s="47"/>
      <c r="N33" s="47"/>
      <c r="O33" s="47"/>
    </row>
    <row r="34" spans="12:37" x14ac:dyDescent="0.25">
      <c r="AJ34" s="7"/>
      <c r="AK34" s="8"/>
    </row>
  </sheetData>
  <mergeCells count="6">
    <mergeCell ref="S1:V1"/>
    <mergeCell ref="Q3:AH3"/>
    <mergeCell ref="C3:J3"/>
    <mergeCell ref="S5:T5"/>
    <mergeCell ref="U5:V5"/>
    <mergeCell ref="L5:N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34"/>
  <sheetViews>
    <sheetView workbookViewId="0">
      <pane ySplit="6" topLeftCell="A7" activePane="bottomLeft" state="frozen"/>
      <selection pane="bottomLeft" activeCell="V5" sqref="V5"/>
    </sheetView>
  </sheetViews>
  <sheetFormatPr defaultRowHeight="15" x14ac:dyDescent="0.25"/>
  <cols>
    <col min="2" max="2" width="7.42578125" customWidth="1"/>
    <col min="3" max="3" width="11.5703125" customWidth="1"/>
    <col min="4" max="4" width="14.85546875" customWidth="1"/>
    <col min="5" max="5" width="10.85546875" customWidth="1"/>
    <col min="6" max="6" width="9.5703125" bestFit="1" customWidth="1"/>
    <col min="7" max="8" width="15" customWidth="1"/>
    <col min="11" max="11" width="10.5703125" bestFit="1" customWidth="1"/>
    <col min="14" max="14" width="12.28515625" customWidth="1"/>
    <col min="15" max="15" width="6.5703125" bestFit="1" customWidth="1"/>
    <col min="17" max="17" width="8.42578125" customWidth="1"/>
    <col min="20" max="20" width="11.7109375" bestFit="1" customWidth="1"/>
    <col min="21" max="21" width="11.28515625" customWidth="1"/>
    <col min="23" max="23" width="14.85546875" customWidth="1"/>
    <col min="24" max="24" width="11.5703125" bestFit="1" customWidth="1"/>
    <col min="25" max="25" width="12.42578125" customWidth="1"/>
    <col min="26" max="26" width="11.5703125" bestFit="1" customWidth="1"/>
    <col min="28" max="28" width="10.5703125" bestFit="1" customWidth="1"/>
    <col min="29" max="29" width="9.5703125" bestFit="1" customWidth="1"/>
    <col min="30" max="30" width="11.140625" customWidth="1"/>
    <col min="32" max="32" width="10.5703125" bestFit="1" customWidth="1"/>
    <col min="33" max="33" width="11.140625" customWidth="1"/>
    <col min="35" max="35" width="13.7109375" customWidth="1"/>
  </cols>
  <sheetData>
    <row r="1" spans="2:37" s="37" customFormat="1" x14ac:dyDescent="0.25">
      <c r="D1" s="37">
        <v>1</v>
      </c>
      <c r="E1" s="37">
        <v>1</v>
      </c>
      <c r="F1" s="37">
        <v>1</v>
      </c>
      <c r="G1" s="37">
        <v>1</v>
      </c>
      <c r="J1" s="58"/>
      <c r="K1" s="58"/>
      <c r="L1" s="58"/>
      <c r="N1" s="37">
        <v>2</v>
      </c>
      <c r="O1" s="62"/>
      <c r="P1" s="62"/>
      <c r="Q1" s="62"/>
      <c r="R1" s="62"/>
      <c r="T1" s="37">
        <v>3</v>
      </c>
      <c r="U1" s="37">
        <v>2</v>
      </c>
      <c r="W1" s="37">
        <v>3</v>
      </c>
      <c r="X1" s="37">
        <v>2</v>
      </c>
      <c r="AB1" s="37">
        <v>0.5</v>
      </c>
      <c r="AD1" s="37">
        <v>0.5</v>
      </c>
      <c r="AF1" s="37">
        <v>0.5</v>
      </c>
      <c r="AG1" s="37">
        <v>0.5</v>
      </c>
      <c r="AH1" s="37">
        <v>1</v>
      </c>
      <c r="AI1" s="37">
        <v>2</v>
      </c>
      <c r="AJ1" s="37">
        <v>2</v>
      </c>
      <c r="AK1" s="37" t="s">
        <v>81</v>
      </c>
    </row>
    <row r="3" spans="2:37" ht="15" customHeight="1" x14ac:dyDescent="0.25">
      <c r="C3" s="59" t="s">
        <v>43</v>
      </c>
      <c r="D3" s="61"/>
      <c r="E3" s="61"/>
      <c r="F3" s="61"/>
      <c r="G3" s="60"/>
      <c r="H3" s="3"/>
      <c r="N3" s="59" t="s">
        <v>44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0"/>
    </row>
    <row r="4" spans="2:37" x14ac:dyDescent="0.25">
      <c r="C4" s="9"/>
      <c r="F4" s="17">
        <v>0.02</v>
      </c>
      <c r="G4" s="11"/>
      <c r="I4" s="15"/>
      <c r="N4" s="9"/>
      <c r="O4" s="5"/>
      <c r="P4" s="41"/>
      <c r="Q4" s="42"/>
      <c r="R4" s="42"/>
      <c r="S4" s="41"/>
      <c r="T4" s="26">
        <v>100000</v>
      </c>
      <c r="U4" s="26"/>
      <c r="V4" s="42"/>
      <c r="W4" s="10">
        <v>1.1053044476376683</v>
      </c>
      <c r="AA4" s="5"/>
      <c r="AD4" s="11"/>
    </row>
    <row r="5" spans="2:37" ht="60" x14ac:dyDescent="0.25">
      <c r="B5" s="1" t="s">
        <v>3</v>
      </c>
      <c r="C5" s="9"/>
      <c r="D5" s="1" t="s">
        <v>47</v>
      </c>
      <c r="E5" s="1" t="s">
        <v>17</v>
      </c>
      <c r="F5" s="1" t="s">
        <v>13</v>
      </c>
      <c r="G5" s="19" t="s">
        <v>48</v>
      </c>
      <c r="H5" s="1"/>
      <c r="I5" s="57" t="s">
        <v>0</v>
      </c>
      <c r="J5" s="67" t="s">
        <v>79</v>
      </c>
      <c r="K5" s="68"/>
      <c r="L5" s="69"/>
      <c r="N5" s="18" t="s">
        <v>17</v>
      </c>
      <c r="O5" s="70" t="s">
        <v>24</v>
      </c>
      <c r="P5" s="70"/>
      <c r="Q5" s="70" t="s">
        <v>25</v>
      </c>
      <c r="R5" s="70"/>
      <c r="S5" s="1" t="s">
        <v>13</v>
      </c>
      <c r="T5" s="1" t="s">
        <v>37</v>
      </c>
      <c r="U5" s="1" t="s">
        <v>38</v>
      </c>
      <c r="V5" s="1" t="s">
        <v>21</v>
      </c>
      <c r="W5" s="1" t="s">
        <v>54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9" t="s">
        <v>32</v>
      </c>
      <c r="AE5" s="1"/>
      <c r="AF5" s="1" t="s">
        <v>34</v>
      </c>
      <c r="AG5" s="1" t="s">
        <v>35</v>
      </c>
      <c r="AH5" s="1" t="s">
        <v>33</v>
      </c>
      <c r="AI5" s="1" t="s">
        <v>36</v>
      </c>
    </row>
    <row r="6" spans="2:37" ht="18.75" x14ac:dyDescent="0.35">
      <c r="C6" s="9"/>
      <c r="G6" s="11"/>
      <c r="I6" s="43" t="s">
        <v>1</v>
      </c>
      <c r="J6" s="9" t="s">
        <v>6</v>
      </c>
      <c r="K6" t="s">
        <v>7</v>
      </c>
      <c r="L6" s="11" t="s">
        <v>8</v>
      </c>
      <c r="N6" s="9"/>
      <c r="O6" t="s">
        <v>22</v>
      </c>
      <c r="P6" t="s">
        <v>23</v>
      </c>
      <c r="Q6" t="s">
        <v>22</v>
      </c>
      <c r="R6" t="s">
        <v>23</v>
      </c>
      <c r="AD6" s="11"/>
    </row>
    <row r="7" spans="2:37" x14ac:dyDescent="0.25">
      <c r="C7" s="9"/>
      <c r="G7" s="11"/>
      <c r="I7" s="44"/>
      <c r="J7" s="9"/>
      <c r="L7" s="11"/>
      <c r="N7" s="9"/>
      <c r="P7" s="6"/>
      <c r="AD7" s="11"/>
    </row>
    <row r="8" spans="2:37" x14ac:dyDescent="0.25">
      <c r="B8">
        <v>1</v>
      </c>
      <c r="C8" s="9"/>
      <c r="D8" s="21">
        <v>0</v>
      </c>
      <c r="E8" s="27">
        <v>1500</v>
      </c>
      <c r="F8" s="21">
        <f t="shared" ref="F8:F32" si="0">SUM(D8:E8)*$F$4</f>
        <v>30</v>
      </c>
      <c r="G8" s="22">
        <f t="shared" ref="G8:G32" si="1">SUM(D8:F8)</f>
        <v>1530</v>
      </c>
      <c r="H8" s="21"/>
      <c r="I8" s="45">
        <v>45</v>
      </c>
      <c r="J8" s="9">
        <f>i!G8</f>
        <v>1.2452480470395149E-3</v>
      </c>
      <c r="K8">
        <f>i!H8</f>
        <v>7.4906606396472036E-2</v>
      </c>
      <c r="L8" s="11">
        <f>i!I8</f>
        <v>0.92384814555648842</v>
      </c>
      <c r="N8" s="28">
        <f t="shared" ref="N8:N32" si="2">E8</f>
        <v>1500</v>
      </c>
      <c r="O8" s="29">
        <f>-Initial_commission*E8</f>
        <v>-375</v>
      </c>
      <c r="P8" s="6">
        <v>0</v>
      </c>
      <c r="Q8" s="29">
        <f>-Initial_expense</f>
        <v>-250</v>
      </c>
      <c r="R8" s="29">
        <v>0</v>
      </c>
      <c r="S8" s="6">
        <f t="shared" ref="S8:S32" si="3">SUM(N8:R8)*NUF_Interest_rate</f>
        <v>21.875</v>
      </c>
      <c r="T8" s="6">
        <f t="shared" ref="T8:T32" si="4">-MAX($T$4,(G8*(1+$W$4)))*J8</f>
        <v>-124.52480470395149</v>
      </c>
      <c r="U8" s="6">
        <f t="shared" ref="U8:U32" si="5">-G8*K8</f>
        <v>-114.60710778660221</v>
      </c>
      <c r="V8" s="21">
        <f t="shared" ref="V8:V31" si="6">-Claim_expense*(1-L8)</f>
        <v>-3.807592722175579</v>
      </c>
      <c r="W8" s="21"/>
      <c r="X8" s="6">
        <f>SUM(N8:W8)</f>
        <v>653.93549478727061</v>
      </c>
      <c r="Y8" s="30">
        <v>1</v>
      </c>
      <c r="Z8" s="6">
        <f>Y8*X8</f>
        <v>653.93549478727061</v>
      </c>
      <c r="AA8" s="31">
        <f t="shared" ref="AA8:AA32" si="7">(1+Risk_discount_rate)^-B8</f>
        <v>0.9174311926605504</v>
      </c>
      <c r="AB8" s="6">
        <f>Z8*AA8</f>
        <v>599.94082090575284</v>
      </c>
      <c r="AC8" s="21">
        <f>E8*Y8</f>
        <v>1500</v>
      </c>
      <c r="AD8" s="22">
        <f>AC8</f>
        <v>1500</v>
      </c>
      <c r="AF8" s="6">
        <f>SUM(AB8:AB32)</f>
        <v>535.40575276111667</v>
      </c>
      <c r="AG8" s="6">
        <f>SUM(AD8:AD32)</f>
        <v>21780.398371211322</v>
      </c>
      <c r="AH8" s="8">
        <f>AF8/AG8</f>
        <v>2.4581999999999996E-2</v>
      </c>
      <c r="AI8" s="5">
        <f>W4</f>
        <v>1.1053044476376683</v>
      </c>
    </row>
    <row r="9" spans="2:37" x14ac:dyDescent="0.25">
      <c r="B9">
        <v>2</v>
      </c>
      <c r="C9" s="9"/>
      <c r="D9" s="21">
        <f>G8</f>
        <v>1530</v>
      </c>
      <c r="E9" s="27">
        <v>1500</v>
      </c>
      <c r="F9" s="21">
        <f t="shared" si="0"/>
        <v>60.6</v>
      </c>
      <c r="G9" s="22">
        <f t="shared" si="1"/>
        <v>3090.6</v>
      </c>
      <c r="H9" s="21"/>
      <c r="I9" s="45">
        <v>46</v>
      </c>
      <c r="J9" s="9">
        <f>i!G9</f>
        <v>1.3787053486941005E-3</v>
      </c>
      <c r="K9">
        <f>i!H9</f>
        <v>4.9931064732565297E-2</v>
      </c>
      <c r="L9" s="11">
        <f>i!I9</f>
        <v>0.94869022991874064</v>
      </c>
      <c r="N9" s="28">
        <f t="shared" si="2"/>
        <v>1500</v>
      </c>
      <c r="O9" s="29">
        <v>0</v>
      </c>
      <c r="P9" s="6">
        <f t="shared" ref="P9:P32" si="8">-Renewal_commission*E9</f>
        <v>-37.5</v>
      </c>
      <c r="Q9" s="29">
        <v>0</v>
      </c>
      <c r="R9" s="29">
        <f t="shared" ref="R9:R32" si="9">-Renewal_expense</f>
        <v>-60</v>
      </c>
      <c r="S9" s="6">
        <f t="shared" si="3"/>
        <v>35.0625</v>
      </c>
      <c r="T9" s="6">
        <f t="shared" si="4"/>
        <v>-137.87053486941005</v>
      </c>
      <c r="U9" s="6">
        <f t="shared" si="5"/>
        <v>-154.3169486624663</v>
      </c>
      <c r="V9" s="21">
        <f t="shared" si="6"/>
        <v>-2.5654885040629685</v>
      </c>
      <c r="W9" s="21"/>
      <c r="X9" s="6">
        <f t="shared" ref="X9:X32" si="10">SUM(N9:W9)</f>
        <v>1142.8095279640606</v>
      </c>
      <c r="Y9" s="30">
        <f t="shared" ref="Y9:Y32" si="11">Y8*L8</f>
        <v>0.92384814555648842</v>
      </c>
      <c r="Z9" s="6">
        <f t="shared" ref="Z9:Z32" si="12">Y9*X9</f>
        <v>1055.7824631338833</v>
      </c>
      <c r="AA9" s="31">
        <f t="shared" si="7"/>
        <v>0.84167999326655996</v>
      </c>
      <c r="AB9" s="6">
        <f t="shared" ref="AB9:AB32" si="13">Z9*AA9</f>
        <v>888.63097646147901</v>
      </c>
      <c r="AC9" s="21">
        <f t="shared" ref="AC9:AC32" si="14">E9*Y9</f>
        <v>1385.7722183347325</v>
      </c>
      <c r="AD9" s="22">
        <f>AC9*AA8</f>
        <v>1271.3506590226903</v>
      </c>
    </row>
    <row r="10" spans="2:37" x14ac:dyDescent="0.25">
      <c r="B10">
        <v>3</v>
      </c>
      <c r="C10" s="9"/>
      <c r="D10" s="21">
        <f t="shared" ref="D10:D32" si="15">G9</f>
        <v>3090.6</v>
      </c>
      <c r="E10" s="27">
        <v>1850</v>
      </c>
      <c r="F10" s="21">
        <f t="shared" si="0"/>
        <v>98.812000000000012</v>
      </c>
      <c r="G10" s="22">
        <f t="shared" si="1"/>
        <v>5039.4120000000003</v>
      </c>
      <c r="H10" s="21"/>
      <c r="I10" s="45">
        <v>47</v>
      </c>
      <c r="J10" s="9">
        <f>i!G10</f>
        <v>1.5317013763956058E-3</v>
      </c>
      <c r="K10">
        <f>i!H10</f>
        <v>9.9846829862360442E-3</v>
      </c>
      <c r="L10" s="11">
        <f>i!I10</f>
        <v>0.98848361563736842</v>
      </c>
      <c r="N10" s="28">
        <f t="shared" si="2"/>
        <v>1850</v>
      </c>
      <c r="O10" s="29">
        <v>0</v>
      </c>
      <c r="P10" s="6">
        <f t="shared" si="8"/>
        <v>-46.25</v>
      </c>
      <c r="Q10" s="29">
        <v>0</v>
      </c>
      <c r="R10" s="29">
        <f t="shared" si="9"/>
        <v>-60</v>
      </c>
      <c r="S10" s="6">
        <f t="shared" si="3"/>
        <v>43.59375</v>
      </c>
      <c r="T10" s="6">
        <f t="shared" si="4"/>
        <v>-153.17013763956058</v>
      </c>
      <c r="U10" s="6">
        <f t="shared" si="5"/>
        <v>-50.316931257033758</v>
      </c>
      <c r="V10" s="21">
        <f t="shared" si="6"/>
        <v>-0.5758192181315791</v>
      </c>
      <c r="W10" s="21"/>
      <c r="X10" s="6">
        <f t="shared" si="10"/>
        <v>1583.2808618852741</v>
      </c>
      <c r="Y10" s="30">
        <f t="shared" si="11"/>
        <v>0.87644570961798718</v>
      </c>
      <c r="Z10" s="6">
        <f t="shared" si="12"/>
        <v>1387.6597185196174</v>
      </c>
      <c r="AA10" s="31">
        <f t="shared" si="7"/>
        <v>0.77218348006106419</v>
      </c>
      <c r="AB10" s="6">
        <f t="shared" si="13"/>
        <v>1071.527910587035</v>
      </c>
      <c r="AC10" s="21">
        <f t="shared" si="14"/>
        <v>1621.4245627932762</v>
      </c>
      <c r="AD10" s="22">
        <f t="shared" ref="AD10:AD32" si="16">AC10*AA9</f>
        <v>1364.7206150940797</v>
      </c>
    </row>
    <row r="11" spans="2:37" x14ac:dyDescent="0.25">
      <c r="B11">
        <v>4</v>
      </c>
      <c r="C11" s="9"/>
      <c r="D11" s="21">
        <f t="shared" si="15"/>
        <v>5039.4120000000003</v>
      </c>
      <c r="E11" s="27">
        <v>2000</v>
      </c>
      <c r="F11" s="21">
        <f t="shared" si="0"/>
        <v>140.78824</v>
      </c>
      <c r="G11" s="22">
        <f t="shared" si="1"/>
        <v>7180.2002400000001</v>
      </c>
      <c r="H11" s="21"/>
      <c r="I11" s="45">
        <v>48</v>
      </c>
      <c r="J11" s="9">
        <f>i!G11</f>
        <v>1.7067938498286732E-3</v>
      </c>
      <c r="K11">
        <f>i!H11</f>
        <v>9.9829320615017134E-3</v>
      </c>
      <c r="L11" s="11">
        <f>i!I11</f>
        <v>0.98831027408866967</v>
      </c>
      <c r="N11" s="28">
        <f t="shared" si="2"/>
        <v>2000</v>
      </c>
      <c r="O11" s="29">
        <v>0</v>
      </c>
      <c r="P11" s="6">
        <f t="shared" si="8"/>
        <v>-50</v>
      </c>
      <c r="Q11" s="29">
        <v>0</v>
      </c>
      <c r="R11" s="29">
        <f t="shared" si="9"/>
        <v>-60</v>
      </c>
      <c r="S11" s="6">
        <f t="shared" si="3"/>
        <v>47.25</v>
      </c>
      <c r="T11" s="6">
        <f t="shared" si="4"/>
        <v>-170.67938498286733</v>
      </c>
      <c r="U11" s="6">
        <f t="shared" si="5"/>
        <v>-71.679451183898294</v>
      </c>
      <c r="V11" s="21">
        <f t="shared" si="6"/>
        <v>-0.58448629556651643</v>
      </c>
      <c r="W11" s="21"/>
      <c r="X11" s="6">
        <f t="shared" si="10"/>
        <v>1694.3066775376681</v>
      </c>
      <c r="Y11" s="30">
        <f t="shared" si="11"/>
        <v>0.86635222395304701</v>
      </c>
      <c r="Z11" s="6">
        <f t="shared" si="12"/>
        <v>1467.8663581432568</v>
      </c>
      <c r="AA11" s="31">
        <f t="shared" si="7"/>
        <v>0.7084252110651964</v>
      </c>
      <c r="AB11" s="6">
        <f t="shared" si="13"/>
        <v>1039.8735345831378</v>
      </c>
      <c r="AC11" s="21">
        <f t="shared" si="14"/>
        <v>1732.7044479060939</v>
      </c>
      <c r="AD11" s="22">
        <f t="shared" si="16"/>
        <v>1337.9657505014125</v>
      </c>
    </row>
    <row r="12" spans="2:37" x14ac:dyDescent="0.25">
      <c r="B12">
        <v>5</v>
      </c>
      <c r="C12" s="9"/>
      <c r="D12" s="21">
        <f t="shared" si="15"/>
        <v>7180.2002400000001</v>
      </c>
      <c r="E12" s="27">
        <v>2250</v>
      </c>
      <c r="F12" s="21">
        <f t="shared" si="0"/>
        <v>188.60400480000001</v>
      </c>
      <c r="G12" s="22">
        <f t="shared" si="1"/>
        <v>9618.8042447999997</v>
      </c>
      <c r="H12" s="21"/>
      <c r="I12" s="45">
        <v>49</v>
      </c>
      <c r="J12" s="9">
        <f>i!G12</f>
        <v>1.9048552702972772E-3</v>
      </c>
      <c r="K12">
        <f>i!H12</f>
        <v>9.9809514472970276E-3</v>
      </c>
      <c r="L12" s="11">
        <f>i!I12</f>
        <v>0.98811419328240568</v>
      </c>
      <c r="N12" s="28">
        <f t="shared" si="2"/>
        <v>2250</v>
      </c>
      <c r="O12" s="29">
        <v>0</v>
      </c>
      <c r="P12" s="6">
        <f t="shared" si="8"/>
        <v>-56.25</v>
      </c>
      <c r="Q12" s="29">
        <v>0</v>
      </c>
      <c r="R12" s="29">
        <f t="shared" si="9"/>
        <v>-60</v>
      </c>
      <c r="S12" s="6">
        <f t="shared" si="3"/>
        <v>53.34375</v>
      </c>
      <c r="T12" s="6">
        <f t="shared" si="4"/>
        <v>-190.48552702972771</v>
      </c>
      <c r="U12" s="6">
        <f t="shared" si="5"/>
        <v>-96.004818148403345</v>
      </c>
      <c r="V12" s="21">
        <f t="shared" si="6"/>
        <v>-0.5942903358797158</v>
      </c>
      <c r="W12" s="21"/>
      <c r="X12" s="6">
        <f t="shared" si="10"/>
        <v>1900.0091144859891</v>
      </c>
      <c r="Y12" s="30">
        <f t="shared" si="11"/>
        <v>0.85622480391236444</v>
      </c>
      <c r="Z12" s="6">
        <f t="shared" si="12"/>
        <v>1626.8349314824713</v>
      </c>
      <c r="AA12" s="31">
        <f t="shared" si="7"/>
        <v>0.64993138629834524</v>
      </c>
      <c r="AB12" s="6">
        <f t="shared" si="13"/>
        <v>1057.3310822969761</v>
      </c>
      <c r="AC12" s="21">
        <f t="shared" si="14"/>
        <v>1926.50580880282</v>
      </c>
      <c r="AD12" s="22">
        <f t="shared" si="16"/>
        <v>1364.7852842194645</v>
      </c>
    </row>
    <row r="13" spans="2:37" x14ac:dyDescent="0.25">
      <c r="B13">
        <v>6</v>
      </c>
      <c r="C13" s="9"/>
      <c r="D13" s="21">
        <f t="shared" si="15"/>
        <v>9618.8042447999997</v>
      </c>
      <c r="E13" s="27">
        <v>3000</v>
      </c>
      <c r="F13" s="21">
        <f t="shared" si="0"/>
        <v>252.37608489600001</v>
      </c>
      <c r="G13" s="22">
        <f t="shared" si="1"/>
        <v>12871.180329695999</v>
      </c>
      <c r="H13" s="21"/>
      <c r="I13" s="45">
        <v>50</v>
      </c>
      <c r="J13" s="9">
        <f>i!G13</f>
        <v>2.1318018744669216E-3</v>
      </c>
      <c r="K13">
        <f>i!H13</f>
        <v>9.9786819812553301E-3</v>
      </c>
      <c r="L13" s="11">
        <f>i!I13</f>
        <v>0.98788951614427778</v>
      </c>
      <c r="N13" s="28">
        <f t="shared" si="2"/>
        <v>3000</v>
      </c>
      <c r="O13" s="29">
        <v>0</v>
      </c>
      <c r="P13" s="6">
        <f t="shared" si="8"/>
        <v>-75</v>
      </c>
      <c r="Q13" s="29">
        <v>0</v>
      </c>
      <c r="R13" s="29">
        <f t="shared" si="9"/>
        <v>-60</v>
      </c>
      <c r="S13" s="6">
        <f t="shared" si="3"/>
        <v>71.625</v>
      </c>
      <c r="T13" s="6">
        <f t="shared" si="4"/>
        <v>-213.18018744669217</v>
      </c>
      <c r="U13" s="6">
        <f t="shared" si="5"/>
        <v>-128.4374152334255</v>
      </c>
      <c r="V13" s="21">
        <f t="shared" si="6"/>
        <v>-0.60552419278611103</v>
      </c>
      <c r="W13" s="21"/>
      <c r="X13" s="6">
        <f t="shared" si="10"/>
        <v>2594.4018731270962</v>
      </c>
      <c r="Y13" s="30">
        <f t="shared" si="11"/>
        <v>0.84604788138625198</v>
      </c>
      <c r="Z13" s="6">
        <f t="shared" si="12"/>
        <v>2194.9882082237036</v>
      </c>
      <c r="AA13" s="31">
        <f t="shared" si="7"/>
        <v>0.5962673268792158</v>
      </c>
      <c r="AB13" s="6">
        <f t="shared" si="13"/>
        <v>1308.7997514489473</v>
      </c>
      <c r="AC13" s="21">
        <f t="shared" si="14"/>
        <v>2538.1436441587557</v>
      </c>
      <c r="AD13" s="22">
        <f t="shared" si="16"/>
        <v>1649.6192172724341</v>
      </c>
    </row>
    <row r="14" spans="2:37" x14ac:dyDescent="0.25">
      <c r="B14">
        <v>7</v>
      </c>
      <c r="C14" s="9"/>
      <c r="D14" s="21">
        <f t="shared" si="15"/>
        <v>12871.180329695999</v>
      </c>
      <c r="E14">
        <f>$E$13</f>
        <v>3000</v>
      </c>
      <c r="F14" s="21">
        <f t="shared" si="0"/>
        <v>317.42360659392</v>
      </c>
      <c r="G14" s="22">
        <f t="shared" si="1"/>
        <v>16188.603936289919</v>
      </c>
      <c r="H14" s="21"/>
      <c r="I14" s="45">
        <v>51</v>
      </c>
      <c r="J14" s="9">
        <f>i!G14</f>
        <v>2.3876507761392703E-3</v>
      </c>
      <c r="K14">
        <f>i!H14</f>
        <v>9.9761234922386074E-3</v>
      </c>
      <c r="L14" s="11">
        <f>i!I14</f>
        <v>0.98763622573162213</v>
      </c>
      <c r="N14" s="28">
        <f t="shared" si="2"/>
        <v>3000</v>
      </c>
      <c r="O14" s="29">
        <v>0</v>
      </c>
      <c r="P14" s="6">
        <f t="shared" si="8"/>
        <v>-75</v>
      </c>
      <c r="Q14" s="29">
        <v>0</v>
      </c>
      <c r="R14" s="29">
        <f t="shared" si="9"/>
        <v>-60</v>
      </c>
      <c r="S14" s="6">
        <f t="shared" si="3"/>
        <v>71.625</v>
      </c>
      <c r="T14" s="6">
        <f t="shared" si="4"/>
        <v>-238.76507761392702</v>
      </c>
      <c r="U14" s="6">
        <f t="shared" si="5"/>
        <v>-161.49951203536827</v>
      </c>
      <c r="V14" s="21">
        <f t="shared" si="6"/>
        <v>-0.61818871341889348</v>
      </c>
      <c r="W14" s="21"/>
      <c r="X14" s="6">
        <f t="shared" si="10"/>
        <v>2535.7422216372856</v>
      </c>
      <c r="Y14" s="30">
        <f t="shared" si="11"/>
        <v>0.83580183217755577</v>
      </c>
      <c r="Z14" s="6">
        <f t="shared" si="12"/>
        <v>2119.3779947744292</v>
      </c>
      <c r="AA14" s="31">
        <f t="shared" si="7"/>
        <v>0.54703424484331731</v>
      </c>
      <c r="AB14" s="6">
        <f t="shared" si="13"/>
        <v>1159.3723409089739</v>
      </c>
      <c r="AC14" s="21">
        <f t="shared" si="14"/>
        <v>2507.4054965326673</v>
      </c>
      <c r="AD14" s="22">
        <f t="shared" si="16"/>
        <v>1495.0839728197864</v>
      </c>
    </row>
    <row r="15" spans="2:37" x14ac:dyDescent="0.25">
      <c r="B15">
        <v>8</v>
      </c>
      <c r="C15" s="9"/>
      <c r="D15" s="21">
        <f t="shared" si="15"/>
        <v>16188.603936289919</v>
      </c>
      <c r="E15">
        <f t="shared" ref="E15:E32" si="17">E14</f>
        <v>3000</v>
      </c>
      <c r="F15" s="21">
        <f t="shared" si="0"/>
        <v>383.77207872579834</v>
      </c>
      <c r="G15" s="22">
        <f t="shared" si="1"/>
        <v>19572.376015015714</v>
      </c>
      <c r="H15" s="21"/>
      <c r="I15" s="45">
        <v>52</v>
      </c>
      <c r="J15" s="9">
        <f>i!G15</f>
        <v>2.6791997695440359E-3</v>
      </c>
      <c r="K15">
        <f>i!H15</f>
        <v>9.9732080023045601E-3</v>
      </c>
      <c r="L15" s="11">
        <f>i!I15</f>
        <v>0.98734759222815138</v>
      </c>
      <c r="N15" s="28">
        <f t="shared" si="2"/>
        <v>3000</v>
      </c>
      <c r="O15" s="29">
        <v>0</v>
      </c>
      <c r="P15" s="6">
        <f t="shared" si="8"/>
        <v>-75</v>
      </c>
      <c r="Q15" s="29">
        <v>0</v>
      </c>
      <c r="R15" s="29">
        <f t="shared" si="9"/>
        <v>-60</v>
      </c>
      <c r="S15" s="6">
        <f t="shared" si="3"/>
        <v>71.625</v>
      </c>
      <c r="T15" s="6">
        <f t="shared" si="4"/>
        <v>-267.91997695440358</v>
      </c>
      <c r="U15" s="6">
        <f t="shared" si="5"/>
        <v>-195.19937709706855</v>
      </c>
      <c r="V15" s="21">
        <f t="shared" si="6"/>
        <v>-0.63262038859243086</v>
      </c>
      <c r="W15" s="21"/>
      <c r="X15" s="6">
        <f t="shared" si="10"/>
        <v>2472.8730255599357</v>
      </c>
      <c r="Y15" s="30">
        <f t="shared" si="11"/>
        <v>0.82546816699141579</v>
      </c>
      <c r="Z15" s="6">
        <f t="shared" si="12"/>
        <v>2041.2779636114767</v>
      </c>
      <c r="AA15" s="31">
        <f t="shared" si="7"/>
        <v>0.50186627967276809</v>
      </c>
      <c r="AB15" s="6">
        <f t="shared" si="13"/>
        <v>1024.448577375696</v>
      </c>
      <c r="AC15" s="21">
        <f t="shared" si="14"/>
        <v>2476.4045009742472</v>
      </c>
      <c r="AD15" s="22">
        <f t="shared" si="16"/>
        <v>1354.6780661170394</v>
      </c>
    </row>
    <row r="16" spans="2:37" x14ac:dyDescent="0.25">
      <c r="B16">
        <v>9</v>
      </c>
      <c r="C16" s="9"/>
      <c r="D16" s="21">
        <f t="shared" si="15"/>
        <v>19572.376015015714</v>
      </c>
      <c r="E16">
        <f t="shared" si="17"/>
        <v>3000</v>
      </c>
      <c r="F16" s="21">
        <f t="shared" si="0"/>
        <v>451.4475203003143</v>
      </c>
      <c r="G16" s="22">
        <f t="shared" si="1"/>
        <v>23023.823535316027</v>
      </c>
      <c r="H16" s="21"/>
      <c r="I16" s="45">
        <v>53</v>
      </c>
      <c r="J16" s="9">
        <f>i!G16</f>
        <v>3.0081451687250845E-3</v>
      </c>
      <c r="K16">
        <f>i!H16</f>
        <v>9.9699185483127489E-3</v>
      </c>
      <c r="L16" s="11">
        <f>i!I16</f>
        <v>0.9870219362829622</v>
      </c>
      <c r="N16" s="28">
        <f t="shared" si="2"/>
        <v>3000</v>
      </c>
      <c r="O16" s="29">
        <v>0</v>
      </c>
      <c r="P16" s="6">
        <f t="shared" si="8"/>
        <v>-75</v>
      </c>
      <c r="Q16" s="29">
        <v>0</v>
      </c>
      <c r="R16" s="29">
        <f t="shared" si="9"/>
        <v>-60</v>
      </c>
      <c r="S16" s="6">
        <f t="shared" si="3"/>
        <v>71.625</v>
      </c>
      <c r="T16" s="6">
        <f t="shared" si="4"/>
        <v>-300.81451687250848</v>
      </c>
      <c r="U16" s="6">
        <f t="shared" si="5"/>
        <v>-229.54564531782685</v>
      </c>
      <c r="V16" s="21">
        <f t="shared" si="6"/>
        <v>-0.64890318585189011</v>
      </c>
      <c r="W16" s="21"/>
      <c r="X16" s="6">
        <f t="shared" si="10"/>
        <v>2405.6159346238128</v>
      </c>
      <c r="Y16" s="30">
        <f t="shared" si="11"/>
        <v>0.81502400713995993</v>
      </c>
      <c r="Z16" s="6">
        <f t="shared" si="12"/>
        <v>1960.6347386768398</v>
      </c>
      <c r="AA16" s="31">
        <f t="shared" si="7"/>
        <v>0.46042777951630098</v>
      </c>
      <c r="AB16" s="6">
        <f t="shared" si="13"/>
        <v>902.73069917150042</v>
      </c>
      <c r="AC16" s="21">
        <f t="shared" si="14"/>
        <v>2445.07202141988</v>
      </c>
      <c r="AD16" s="22">
        <f t="shared" si="16"/>
        <v>1227.0991989219699</v>
      </c>
    </row>
    <row r="17" spans="2:30" x14ac:dyDescent="0.25">
      <c r="B17">
        <v>10</v>
      </c>
      <c r="C17" s="9"/>
      <c r="D17" s="21">
        <f t="shared" si="15"/>
        <v>23023.823535316027</v>
      </c>
      <c r="E17">
        <f t="shared" si="17"/>
        <v>3000</v>
      </c>
      <c r="F17" s="21">
        <f t="shared" si="0"/>
        <v>520.47647070632058</v>
      </c>
      <c r="G17" s="22">
        <f t="shared" si="1"/>
        <v>26544.300006022349</v>
      </c>
      <c r="H17" s="21"/>
      <c r="I17" s="45">
        <v>54</v>
      </c>
      <c r="J17" s="9">
        <f>i!G17</f>
        <v>3.3796015338311181E-3</v>
      </c>
      <c r="K17">
        <f>i!H17</f>
        <v>9.9662039846616889E-3</v>
      </c>
      <c r="L17" s="11">
        <f>i!I17</f>
        <v>0.98665419448150726</v>
      </c>
      <c r="N17" s="28">
        <f t="shared" si="2"/>
        <v>3000</v>
      </c>
      <c r="O17" s="29">
        <v>0</v>
      </c>
      <c r="P17" s="6">
        <f t="shared" si="8"/>
        <v>-75</v>
      </c>
      <c r="Q17" s="29">
        <v>0</v>
      </c>
      <c r="R17" s="29">
        <f t="shared" si="9"/>
        <v>-60</v>
      </c>
      <c r="S17" s="6">
        <f t="shared" si="3"/>
        <v>71.625</v>
      </c>
      <c r="T17" s="6">
        <f t="shared" si="4"/>
        <v>-337.96015338311179</v>
      </c>
      <c r="U17" s="6">
        <f t="shared" si="5"/>
        <v>-264.54590849007525</v>
      </c>
      <c r="V17" s="21">
        <f t="shared" si="6"/>
        <v>-0.66729027592463686</v>
      </c>
      <c r="W17" s="21"/>
      <c r="X17" s="6">
        <f t="shared" si="10"/>
        <v>2333.4516478508881</v>
      </c>
      <c r="Y17" s="30">
        <f t="shared" si="11"/>
        <v>0.8044465736443821</v>
      </c>
      <c r="Z17" s="6">
        <f t="shared" si="12"/>
        <v>1877.1371828784843</v>
      </c>
      <c r="AA17" s="31">
        <f t="shared" si="7"/>
        <v>0.42241080689568894</v>
      </c>
      <c r="AB17" s="6">
        <f t="shared" si="13"/>
        <v>792.92303207360101</v>
      </c>
      <c r="AC17" s="21">
        <f t="shared" si="14"/>
        <v>2413.3397209331465</v>
      </c>
      <c r="AD17" s="22">
        <f t="shared" si="16"/>
        <v>1111.1686489277381</v>
      </c>
    </row>
    <row r="18" spans="2:30" x14ac:dyDescent="0.25">
      <c r="B18">
        <v>11</v>
      </c>
      <c r="C18" s="9"/>
      <c r="D18" s="21">
        <f t="shared" si="15"/>
        <v>26544.300006022349</v>
      </c>
      <c r="E18">
        <f t="shared" si="17"/>
        <v>3000</v>
      </c>
      <c r="F18" s="21">
        <f t="shared" si="0"/>
        <v>590.88600012044697</v>
      </c>
      <c r="G18" s="22">
        <f t="shared" si="1"/>
        <v>30135.186006142798</v>
      </c>
      <c r="H18" s="21"/>
      <c r="I18" s="45">
        <v>55</v>
      </c>
      <c r="J18" s="9">
        <f>i!G18</f>
        <v>3.7986510498385362E-3</v>
      </c>
      <c r="K18">
        <f>i!H18</f>
        <v>9.9620134895016151E-3</v>
      </c>
      <c r="L18" s="11">
        <f>i!I18</f>
        <v>0.98623933546065978</v>
      </c>
      <c r="N18" s="28">
        <f t="shared" si="2"/>
        <v>3000</v>
      </c>
      <c r="O18" s="29">
        <v>0</v>
      </c>
      <c r="P18" s="6">
        <f t="shared" si="8"/>
        <v>-75</v>
      </c>
      <c r="Q18" s="29">
        <v>0</v>
      </c>
      <c r="R18" s="29">
        <f t="shared" si="9"/>
        <v>-60</v>
      </c>
      <c r="S18" s="6">
        <f t="shared" si="3"/>
        <v>71.625</v>
      </c>
      <c r="T18" s="6">
        <f t="shared" si="4"/>
        <v>-379.8651049838536</v>
      </c>
      <c r="U18" s="6">
        <f t="shared" si="5"/>
        <v>-300.20712950183486</v>
      </c>
      <c r="V18" s="21">
        <f t="shared" si="6"/>
        <v>-0.68803322696701086</v>
      </c>
      <c r="W18" s="21"/>
      <c r="X18" s="6">
        <f t="shared" si="10"/>
        <v>2255.8647322873444</v>
      </c>
      <c r="Y18" s="30">
        <f t="shared" si="11"/>
        <v>0.79371058612250633</v>
      </c>
      <c r="Z18" s="6">
        <f t="shared" si="12"/>
        <v>1790.503718876879</v>
      </c>
      <c r="AA18" s="31">
        <f t="shared" si="7"/>
        <v>0.38753285036301738</v>
      </c>
      <c r="AB18" s="6">
        <f t="shared" si="13"/>
        <v>693.87900976193964</v>
      </c>
      <c r="AC18" s="21">
        <f t="shared" si="14"/>
        <v>2381.1317583675191</v>
      </c>
      <c r="AD18" s="22">
        <f t="shared" si="16"/>
        <v>1005.8157873769743</v>
      </c>
    </row>
    <row r="19" spans="2:30" x14ac:dyDescent="0.25">
      <c r="B19">
        <v>12</v>
      </c>
      <c r="C19" s="9"/>
      <c r="D19" s="21">
        <f t="shared" si="15"/>
        <v>30135.186006142798</v>
      </c>
      <c r="E19">
        <f t="shared" si="17"/>
        <v>3000</v>
      </c>
      <c r="F19" s="21">
        <f t="shared" si="0"/>
        <v>662.703720122856</v>
      </c>
      <c r="G19" s="22">
        <f t="shared" si="1"/>
        <v>33797.889726265661</v>
      </c>
      <c r="H19" s="21"/>
      <c r="I19" s="45">
        <v>56</v>
      </c>
      <c r="J19" s="9">
        <f>i!G19</f>
        <v>4.2712502143958941E-3</v>
      </c>
      <c r="K19">
        <f>i!H19</f>
        <v>9.9572874978560415E-3</v>
      </c>
      <c r="L19" s="11">
        <f>i!I19</f>
        <v>0.98577146228774803</v>
      </c>
      <c r="N19" s="28">
        <f t="shared" si="2"/>
        <v>3000</v>
      </c>
      <c r="O19" s="29">
        <v>0</v>
      </c>
      <c r="P19" s="6">
        <f t="shared" si="8"/>
        <v>-75</v>
      </c>
      <c r="Q19" s="29">
        <v>0</v>
      </c>
      <c r="R19" s="29">
        <f t="shared" si="9"/>
        <v>-60</v>
      </c>
      <c r="S19" s="6">
        <f t="shared" si="3"/>
        <v>71.625</v>
      </c>
      <c r="T19" s="6">
        <f t="shared" si="4"/>
        <v>-427.12502143958943</v>
      </c>
      <c r="U19" s="6">
        <f t="shared" si="5"/>
        <v>-336.53530482526224</v>
      </c>
      <c r="V19" s="21">
        <f t="shared" si="6"/>
        <v>-0.71142688561259826</v>
      </c>
      <c r="W19" s="21"/>
      <c r="X19" s="6">
        <f t="shared" si="10"/>
        <v>2172.2532468495356</v>
      </c>
      <c r="Y19" s="30">
        <f t="shared" si="11"/>
        <v>0.78278860100555148</v>
      </c>
      <c r="Z19" s="6">
        <f t="shared" si="12"/>
        <v>1700.4150801311148</v>
      </c>
      <c r="AA19" s="31">
        <f t="shared" si="7"/>
        <v>0.35553472510368567</v>
      </c>
      <c r="AB19" s="6">
        <f t="shared" si="13"/>
        <v>604.5566080765775</v>
      </c>
      <c r="AC19" s="21">
        <f t="shared" si="14"/>
        <v>2348.3658030166544</v>
      </c>
      <c r="AD19" s="22">
        <f t="shared" si="16"/>
        <v>910.06889333808022</v>
      </c>
    </row>
    <row r="20" spans="2:30" x14ac:dyDescent="0.25">
      <c r="B20">
        <v>13</v>
      </c>
      <c r="C20" s="9"/>
      <c r="D20" s="21">
        <f t="shared" si="15"/>
        <v>33797.889726265661</v>
      </c>
      <c r="E20">
        <f t="shared" si="17"/>
        <v>3000</v>
      </c>
      <c r="F20" s="21">
        <f t="shared" si="0"/>
        <v>735.95779452531326</v>
      </c>
      <c r="G20" s="22">
        <f t="shared" si="1"/>
        <v>37533.847520790972</v>
      </c>
      <c r="H20" s="21"/>
      <c r="I20" s="45">
        <v>57</v>
      </c>
      <c r="J20" s="9">
        <f>i!G20</f>
        <v>4.8025007281386461E-3</v>
      </c>
      <c r="K20">
        <f>i!H20</f>
        <v>9.9519749927186145E-3</v>
      </c>
      <c r="L20" s="11">
        <f>i!I20</f>
        <v>0.9852455242791428</v>
      </c>
      <c r="N20" s="28">
        <f t="shared" si="2"/>
        <v>3000</v>
      </c>
      <c r="O20" s="29">
        <v>0</v>
      </c>
      <c r="P20" s="6">
        <f t="shared" si="8"/>
        <v>-75</v>
      </c>
      <c r="Q20" s="29">
        <v>0</v>
      </c>
      <c r="R20" s="29">
        <f t="shared" si="9"/>
        <v>-60</v>
      </c>
      <c r="S20" s="6">
        <f t="shared" si="3"/>
        <v>71.625</v>
      </c>
      <c r="T20" s="6">
        <f t="shared" si="4"/>
        <v>-480.25007281386462</v>
      </c>
      <c r="U20" s="6">
        <f t="shared" si="5"/>
        <v>-373.53591190742532</v>
      </c>
      <c r="V20" s="21">
        <f t="shared" si="6"/>
        <v>-0.73772378604285982</v>
      </c>
      <c r="W20" s="21"/>
      <c r="X20" s="6">
        <f t="shared" si="10"/>
        <v>2082.1012914926669</v>
      </c>
      <c r="Y20" s="30">
        <f t="shared" si="11"/>
        <v>0.77165066387542303</v>
      </c>
      <c r="Z20" s="6">
        <f t="shared" si="12"/>
        <v>1606.654843836192</v>
      </c>
      <c r="AA20" s="31">
        <f t="shared" si="7"/>
        <v>0.32617864688411524</v>
      </c>
      <c r="AB20" s="6">
        <f t="shared" si="13"/>
        <v>524.05650297229863</v>
      </c>
      <c r="AC20" s="21">
        <f t="shared" si="14"/>
        <v>2314.9519916262689</v>
      </c>
      <c r="AD20" s="22">
        <f t="shared" si="16"/>
        <v>823.04581997107516</v>
      </c>
    </row>
    <row r="21" spans="2:30" x14ac:dyDescent="0.25">
      <c r="B21">
        <v>14</v>
      </c>
      <c r="C21" s="9"/>
      <c r="D21" s="21">
        <f t="shared" si="15"/>
        <v>37533.847520790972</v>
      </c>
      <c r="E21">
        <f t="shared" si="17"/>
        <v>3000</v>
      </c>
      <c r="F21" s="21">
        <f t="shared" si="0"/>
        <v>810.67695041581942</v>
      </c>
      <c r="G21" s="22">
        <f t="shared" si="1"/>
        <v>41344.524471206794</v>
      </c>
      <c r="H21" s="21"/>
      <c r="I21" s="45">
        <v>58</v>
      </c>
      <c r="J21" s="9">
        <f>i!G21</f>
        <v>5.3991945697084648E-3</v>
      </c>
      <c r="K21">
        <f>i!H21</f>
        <v>9.9460080543029156E-3</v>
      </c>
      <c r="L21" s="11">
        <f>i!I21</f>
        <v>0.9846547973759886</v>
      </c>
      <c r="N21" s="28">
        <f t="shared" si="2"/>
        <v>3000</v>
      </c>
      <c r="O21" s="29">
        <v>0</v>
      </c>
      <c r="P21" s="6">
        <f t="shared" si="8"/>
        <v>-75</v>
      </c>
      <c r="Q21" s="29">
        <v>0</v>
      </c>
      <c r="R21" s="29">
        <f t="shared" si="9"/>
        <v>-60</v>
      </c>
      <c r="S21" s="6">
        <f t="shared" si="3"/>
        <v>71.625</v>
      </c>
      <c r="T21" s="6">
        <f t="shared" si="4"/>
        <v>-539.91945697084645</v>
      </c>
      <c r="U21" s="6">
        <f t="shared" si="5"/>
        <v>-411.21297339194678</v>
      </c>
      <c r="V21" s="21">
        <f t="shared" si="6"/>
        <v>-0.76726013120057002</v>
      </c>
      <c r="W21" s="21"/>
      <c r="X21" s="6">
        <f t="shared" si="10"/>
        <v>1984.7253095060059</v>
      </c>
      <c r="Y21" s="30">
        <f t="shared" si="11"/>
        <v>0.76026536289028979</v>
      </c>
      <c r="Z21" s="6">
        <f t="shared" si="12"/>
        <v>1508.9179076691264</v>
      </c>
      <c r="AA21" s="31">
        <f t="shared" si="7"/>
        <v>0.29924646503129837</v>
      </c>
      <c r="AB21" s="6">
        <f t="shared" si="13"/>
        <v>451.53834989240914</v>
      </c>
      <c r="AC21" s="21">
        <f t="shared" si="14"/>
        <v>2280.7960886708693</v>
      </c>
      <c r="AD21" s="22">
        <f t="shared" si="16"/>
        <v>743.94698202124664</v>
      </c>
    </row>
    <row r="22" spans="2:30" x14ac:dyDescent="0.25">
      <c r="B22">
        <v>15</v>
      </c>
      <c r="C22" s="9"/>
      <c r="D22" s="21">
        <f t="shared" si="15"/>
        <v>41344.524471206794</v>
      </c>
      <c r="E22">
        <f t="shared" si="17"/>
        <v>3000</v>
      </c>
      <c r="F22" s="21">
        <f t="shared" si="0"/>
        <v>886.89048942413592</v>
      </c>
      <c r="G22" s="22">
        <f t="shared" si="1"/>
        <v>45231.414960630929</v>
      </c>
      <c r="H22" s="21"/>
      <c r="I22" s="45">
        <v>59</v>
      </c>
      <c r="J22" s="9">
        <f>i!G22</f>
        <v>6.0690010395549592E-3</v>
      </c>
      <c r="K22">
        <f>i!H22</f>
        <v>9.9393099896044508E-3</v>
      </c>
      <c r="L22" s="11">
        <f>i!I22</f>
        <v>0.98399168897084055</v>
      </c>
      <c r="N22" s="28">
        <f t="shared" si="2"/>
        <v>3000</v>
      </c>
      <c r="O22" s="29">
        <v>0</v>
      </c>
      <c r="P22" s="6">
        <f t="shared" si="8"/>
        <v>-75</v>
      </c>
      <c r="Q22" s="29">
        <v>0</v>
      </c>
      <c r="R22" s="29">
        <f t="shared" si="9"/>
        <v>-60</v>
      </c>
      <c r="S22" s="6">
        <f t="shared" si="3"/>
        <v>71.625</v>
      </c>
      <c r="T22" s="6">
        <f t="shared" si="4"/>
        <v>-606.90010395549587</v>
      </c>
      <c r="U22" s="6">
        <f t="shared" si="5"/>
        <v>-449.56905456214321</v>
      </c>
      <c r="V22" s="21">
        <f t="shared" si="6"/>
        <v>-0.8004155514579725</v>
      </c>
      <c r="W22" s="21"/>
      <c r="X22" s="6">
        <f t="shared" si="10"/>
        <v>1879.3554259309028</v>
      </c>
      <c r="Y22" s="30">
        <f t="shared" si="11"/>
        <v>0.7485989368487207</v>
      </c>
      <c r="Z22" s="6">
        <f t="shared" si="12"/>
        <v>1406.8834738127484</v>
      </c>
      <c r="AA22" s="31">
        <f t="shared" si="7"/>
        <v>0.27453804131311776</v>
      </c>
      <c r="AB22" s="6">
        <f t="shared" si="13"/>
        <v>386.24303325634696</v>
      </c>
      <c r="AC22" s="21">
        <f t="shared" si="14"/>
        <v>2245.7968105461623</v>
      </c>
      <c r="AD22" s="22">
        <f t="shared" si="16"/>
        <v>672.04675673450356</v>
      </c>
    </row>
    <row r="23" spans="2:30" x14ac:dyDescent="0.25">
      <c r="B23">
        <v>16</v>
      </c>
      <c r="C23" s="9"/>
      <c r="D23" s="21">
        <f t="shared" si="15"/>
        <v>45231.414960630929</v>
      </c>
      <c r="E23">
        <f t="shared" si="17"/>
        <v>3000</v>
      </c>
      <c r="F23" s="21">
        <f t="shared" si="0"/>
        <v>964.62829921261857</v>
      </c>
      <c r="G23" s="22">
        <f t="shared" si="1"/>
        <v>49196.043259843551</v>
      </c>
      <c r="H23" s="21"/>
      <c r="I23" s="45">
        <v>60</v>
      </c>
      <c r="J23" s="9">
        <f>i!G23</f>
        <v>6.818704579770506E-3</v>
      </c>
      <c r="K23">
        <f>i!H23</f>
        <v>9.9318129542022952E-3</v>
      </c>
      <c r="L23" s="11">
        <f>i!I23</f>
        <v>0.98324948246602717</v>
      </c>
      <c r="N23" s="28">
        <f t="shared" si="2"/>
        <v>3000</v>
      </c>
      <c r="O23" s="29">
        <v>0</v>
      </c>
      <c r="P23" s="6">
        <f t="shared" si="8"/>
        <v>-75</v>
      </c>
      <c r="Q23" s="29">
        <v>0</v>
      </c>
      <c r="R23" s="29">
        <f t="shared" si="9"/>
        <v>-60</v>
      </c>
      <c r="S23" s="6">
        <f t="shared" si="3"/>
        <v>71.625</v>
      </c>
      <c r="T23" s="6">
        <f t="shared" si="4"/>
        <v>-706.23129390094027</v>
      </c>
      <c r="U23" s="6">
        <f t="shared" si="5"/>
        <v>-488.60589974361068</v>
      </c>
      <c r="V23" s="21">
        <f t="shared" si="6"/>
        <v>-0.83752587669864154</v>
      </c>
      <c r="W23" s="21"/>
      <c r="X23" s="6">
        <f t="shared" si="10"/>
        <v>1740.9502804787503</v>
      </c>
      <c r="Y23" s="30">
        <f t="shared" si="11"/>
        <v>0.73661513223154829</v>
      </c>
      <c r="Z23" s="6">
        <f t="shared" si="12"/>
        <v>1282.4103210634057</v>
      </c>
      <c r="AA23" s="31">
        <f t="shared" si="7"/>
        <v>0.2518697626725851</v>
      </c>
      <c r="AB23" s="6">
        <f t="shared" si="13"/>
        <v>323.00038321511363</v>
      </c>
      <c r="AC23" s="21">
        <f t="shared" si="14"/>
        <v>2209.8453966946449</v>
      </c>
      <c r="AD23" s="22">
        <f t="shared" si="16"/>
        <v>606.68662681335752</v>
      </c>
    </row>
    <row r="24" spans="2:30" x14ac:dyDescent="0.25">
      <c r="B24">
        <v>17</v>
      </c>
      <c r="C24" s="9"/>
      <c r="D24" s="21">
        <f t="shared" si="15"/>
        <v>49196.043259843551</v>
      </c>
      <c r="E24">
        <f t="shared" si="17"/>
        <v>3000</v>
      </c>
      <c r="F24" s="21">
        <f t="shared" si="0"/>
        <v>1043.9208651968711</v>
      </c>
      <c r="G24" s="22">
        <f t="shared" si="1"/>
        <v>53239.964125040424</v>
      </c>
      <c r="H24" s="21"/>
      <c r="I24" s="45">
        <v>61</v>
      </c>
      <c r="J24" s="9">
        <f>i!G24</f>
        <v>7.6576460207823036E-3</v>
      </c>
      <c r="K24">
        <f>i!H24</f>
        <v>9.9234235397921769E-3</v>
      </c>
      <c r="L24" s="11">
        <f>i!I24</f>
        <v>0.98241893043942552</v>
      </c>
      <c r="N24" s="28">
        <f t="shared" si="2"/>
        <v>3000</v>
      </c>
      <c r="O24" s="29">
        <v>0</v>
      </c>
      <c r="P24" s="6">
        <f t="shared" si="8"/>
        <v>-75</v>
      </c>
      <c r="Q24" s="29">
        <v>0</v>
      </c>
      <c r="R24" s="29">
        <f t="shared" si="9"/>
        <v>-60</v>
      </c>
      <c r="S24" s="6">
        <f t="shared" si="3"/>
        <v>71.625</v>
      </c>
      <c r="T24" s="6">
        <f t="shared" si="4"/>
        <v>-858.3174639071118</v>
      </c>
      <c r="U24" s="6">
        <f t="shared" si="5"/>
        <v>-528.32271325611714</v>
      </c>
      <c r="V24" s="21">
        <f t="shared" si="6"/>
        <v>-0.87905347802872402</v>
      </c>
      <c r="W24" s="21"/>
      <c r="X24" s="6">
        <f t="shared" si="10"/>
        <v>1549.1057693587425</v>
      </c>
      <c r="Y24" s="30">
        <f t="shared" si="11"/>
        <v>0.72427644754331399</v>
      </c>
      <c r="Z24" s="6">
        <f t="shared" si="12"/>
        <v>1121.9808235000023</v>
      </c>
      <c r="AA24" s="31">
        <f t="shared" si="7"/>
        <v>0.23107317676383954</v>
      </c>
      <c r="AB24" s="6">
        <f t="shared" si="13"/>
        <v>259.2596731542543</v>
      </c>
      <c r="AC24" s="21">
        <f t="shared" si="14"/>
        <v>2172.8293426299419</v>
      </c>
      <c r="AD24" s="22">
        <f t="shared" si="16"/>
        <v>547.2700108562326</v>
      </c>
    </row>
    <row r="25" spans="2:30" x14ac:dyDescent="0.25">
      <c r="B25">
        <v>18</v>
      </c>
      <c r="C25" s="9"/>
      <c r="D25" s="21">
        <f t="shared" si="15"/>
        <v>53239.964125040424</v>
      </c>
      <c r="E25">
        <f t="shared" si="17"/>
        <v>3000</v>
      </c>
      <c r="F25" s="21">
        <f t="shared" si="0"/>
        <v>1124.7992825008084</v>
      </c>
      <c r="G25" s="22">
        <f t="shared" si="1"/>
        <v>57364.763407541235</v>
      </c>
      <c r="H25" s="21"/>
      <c r="I25" s="45">
        <v>62</v>
      </c>
      <c r="J25" s="9">
        <f>i!G25</f>
        <v>8.5952001579019388E-3</v>
      </c>
      <c r="K25">
        <f>i!H25</f>
        <v>9.9140479984209801E-3</v>
      </c>
      <c r="L25" s="11">
        <f>i!I25</f>
        <v>0.98149075184367707</v>
      </c>
      <c r="N25" s="28">
        <f t="shared" si="2"/>
        <v>3000</v>
      </c>
      <c r="O25" s="29">
        <v>0</v>
      </c>
      <c r="P25" s="6">
        <f t="shared" si="8"/>
        <v>-75</v>
      </c>
      <c r="Q25" s="29">
        <v>0</v>
      </c>
      <c r="R25" s="29">
        <f t="shared" si="9"/>
        <v>-60</v>
      </c>
      <c r="S25" s="6">
        <f t="shared" si="3"/>
        <v>71.625</v>
      </c>
      <c r="T25" s="6">
        <f t="shared" si="4"/>
        <v>-1038.0448289108538</v>
      </c>
      <c r="U25" s="6">
        <f t="shared" si="5"/>
        <v>-568.71701784042727</v>
      </c>
      <c r="V25" s="21">
        <f t="shared" si="6"/>
        <v>-0.92546240781614664</v>
      </c>
      <c r="W25" s="21"/>
      <c r="X25" s="6">
        <f t="shared" si="10"/>
        <v>1328.9376908409026</v>
      </c>
      <c r="Y25" s="30">
        <f t="shared" si="11"/>
        <v>0.71154289293796924</v>
      </c>
      <c r="Z25" s="6">
        <f t="shared" si="12"/>
        <v>945.59616907524048</v>
      </c>
      <c r="AA25" s="31">
        <f t="shared" si="7"/>
        <v>0.21199374015031147</v>
      </c>
      <c r="AB25" s="6">
        <f t="shared" si="13"/>
        <v>200.46046855406652</v>
      </c>
      <c r="AC25" s="21">
        <f t="shared" si="14"/>
        <v>2134.6286788139078</v>
      </c>
      <c r="AD25" s="22">
        <f t="shared" si="16"/>
        <v>493.25543002472739</v>
      </c>
    </row>
    <row r="26" spans="2:30" x14ac:dyDescent="0.25">
      <c r="B26">
        <v>19</v>
      </c>
      <c r="C26" s="9"/>
      <c r="D26" s="21">
        <f t="shared" si="15"/>
        <v>57364.763407541235</v>
      </c>
      <c r="E26">
        <f t="shared" si="17"/>
        <v>3000</v>
      </c>
      <c r="F26" s="21">
        <f t="shared" si="0"/>
        <v>1207.2952681508248</v>
      </c>
      <c r="G26" s="22">
        <f t="shared" si="1"/>
        <v>61572.05867569206</v>
      </c>
      <c r="H26" s="21"/>
      <c r="I26" s="45">
        <v>63</v>
      </c>
      <c r="J26" s="9">
        <f>i!G26</f>
        <v>9.6423967108318579E-3</v>
      </c>
      <c r="K26">
        <f>i!H26</f>
        <v>9.9035760328916814E-3</v>
      </c>
      <c r="L26" s="11">
        <f>i!I26</f>
        <v>0.98045402725627639</v>
      </c>
      <c r="N26" s="28">
        <f t="shared" si="2"/>
        <v>3000</v>
      </c>
      <c r="O26" s="29">
        <v>0</v>
      </c>
      <c r="P26" s="6">
        <f t="shared" si="8"/>
        <v>-75</v>
      </c>
      <c r="Q26" s="29">
        <v>0</v>
      </c>
      <c r="R26" s="29">
        <f t="shared" si="9"/>
        <v>-60</v>
      </c>
      <c r="S26" s="6">
        <f t="shared" si="3"/>
        <v>71.625</v>
      </c>
      <c r="T26" s="6">
        <f t="shared" si="4"/>
        <v>-1249.9239160300669</v>
      </c>
      <c r="U26" s="6">
        <f t="shared" si="5"/>
        <v>-609.78356459638417</v>
      </c>
      <c r="V26" s="21">
        <f t="shared" si="6"/>
        <v>-0.97729863718618026</v>
      </c>
      <c r="W26" s="21"/>
      <c r="X26" s="6">
        <f t="shared" si="10"/>
        <v>1075.9402207363628</v>
      </c>
      <c r="Y26" s="30">
        <f t="shared" si="11"/>
        <v>0.69837276895871248</v>
      </c>
      <c r="Z26" s="6">
        <f t="shared" si="12"/>
        <v>751.40735118970201</v>
      </c>
      <c r="AA26" s="31">
        <f t="shared" si="7"/>
        <v>0.19448966986267105</v>
      </c>
      <c r="AB26" s="6">
        <f t="shared" si="13"/>
        <v>146.14096766526927</v>
      </c>
      <c r="AC26" s="21">
        <f t="shared" si="14"/>
        <v>2095.1183068761375</v>
      </c>
      <c r="AD26" s="22">
        <f t="shared" si="16"/>
        <v>444.15196593206042</v>
      </c>
    </row>
    <row r="27" spans="2:30" x14ac:dyDescent="0.25">
      <c r="B27">
        <v>20</v>
      </c>
      <c r="C27" s="9"/>
      <c r="D27" s="21">
        <f t="shared" si="15"/>
        <v>61572.05867569206</v>
      </c>
      <c r="E27">
        <f t="shared" si="17"/>
        <v>3000</v>
      </c>
      <c r="F27" s="21">
        <f t="shared" si="0"/>
        <v>1291.4411735138412</v>
      </c>
      <c r="G27" s="22">
        <f t="shared" si="1"/>
        <v>65863.499849205895</v>
      </c>
      <c r="H27" s="21"/>
      <c r="I27" s="45">
        <v>64</v>
      </c>
      <c r="J27" s="9">
        <f>i!G27</f>
        <v>1.0808600266029294E-2</v>
      </c>
      <c r="K27">
        <f>i!H27</f>
        <v>9.8919139973397078E-3</v>
      </c>
      <c r="L27" s="11">
        <f>i!I27</f>
        <v>0.97929948573663106</v>
      </c>
      <c r="N27" s="28">
        <f t="shared" si="2"/>
        <v>3000</v>
      </c>
      <c r="O27" s="29">
        <v>0</v>
      </c>
      <c r="P27" s="6">
        <f t="shared" si="8"/>
        <v>-75</v>
      </c>
      <c r="Q27" s="29">
        <v>0</v>
      </c>
      <c r="R27" s="29">
        <f t="shared" si="9"/>
        <v>-60</v>
      </c>
      <c r="S27" s="6">
        <f t="shared" si="3"/>
        <v>71.625</v>
      </c>
      <c r="T27" s="6">
        <f t="shared" si="4"/>
        <v>-1498.7499033039769</v>
      </c>
      <c r="U27" s="6">
        <f t="shared" si="5"/>
        <v>-651.51607607214157</v>
      </c>
      <c r="V27" s="21">
        <f t="shared" si="6"/>
        <v>-1.035025713168447</v>
      </c>
      <c r="W27" s="21"/>
      <c r="X27" s="6">
        <f t="shared" si="10"/>
        <v>785.32399491071305</v>
      </c>
      <c r="Y27" s="30">
        <f t="shared" si="11"/>
        <v>0.68472239385168665</v>
      </c>
      <c r="Z27" s="6">
        <f t="shared" si="12"/>
        <v>537.72892574443324</v>
      </c>
      <c r="AA27" s="31">
        <f t="shared" si="7"/>
        <v>0.17843088978226704</v>
      </c>
      <c r="AB27" s="6">
        <f t="shared" si="13"/>
        <v>95.947450682241822</v>
      </c>
      <c r="AC27" s="21">
        <f t="shared" si="14"/>
        <v>2054.1671815550599</v>
      </c>
      <c r="AD27" s="22">
        <f t="shared" si="16"/>
        <v>399.51429698337705</v>
      </c>
    </row>
    <row r="28" spans="2:30" x14ac:dyDescent="0.25">
      <c r="B28">
        <v>21</v>
      </c>
      <c r="C28" s="9"/>
      <c r="D28" s="21">
        <f t="shared" si="15"/>
        <v>65863.499849205895</v>
      </c>
      <c r="E28">
        <f t="shared" si="17"/>
        <v>3000</v>
      </c>
      <c r="F28" s="21">
        <f t="shared" si="0"/>
        <v>1377.2699969841178</v>
      </c>
      <c r="G28" s="22">
        <f t="shared" si="1"/>
        <v>70240.769846190015</v>
      </c>
      <c r="H28" s="21"/>
      <c r="I28" s="45">
        <v>65</v>
      </c>
      <c r="J28" s="9">
        <f>i!G28</f>
        <v>1.210655739340322E-2</v>
      </c>
      <c r="K28">
        <f>i!H28</f>
        <v>9.8789344260659679E-3</v>
      </c>
      <c r="L28" s="11">
        <f>i!I28</f>
        <v>0.97801450818053071</v>
      </c>
      <c r="N28" s="28">
        <f t="shared" si="2"/>
        <v>3000</v>
      </c>
      <c r="O28" s="29">
        <v>0</v>
      </c>
      <c r="P28" s="6">
        <f t="shared" si="8"/>
        <v>-75</v>
      </c>
      <c r="Q28" s="29">
        <v>0</v>
      </c>
      <c r="R28" s="29">
        <f t="shared" si="9"/>
        <v>-60</v>
      </c>
      <c r="S28" s="6">
        <f t="shared" si="3"/>
        <v>71.625</v>
      </c>
      <c r="T28" s="6">
        <f t="shared" si="4"/>
        <v>-1790.2959780354138</v>
      </c>
      <c r="U28" s="6">
        <f t="shared" si="5"/>
        <v>-693.90395934690287</v>
      </c>
      <c r="V28" s="21">
        <f t="shared" si="6"/>
        <v>-1.0992745909734647</v>
      </c>
      <c r="W28" s="21"/>
      <c r="X28" s="6">
        <f t="shared" si="10"/>
        <v>451.32578802670992</v>
      </c>
      <c r="Y28" s="30">
        <f t="shared" si="11"/>
        <v>0.67054828817131173</v>
      </c>
      <c r="Z28" s="6">
        <f t="shared" si="12"/>
        <v>302.63573456887866</v>
      </c>
      <c r="AA28" s="31">
        <f t="shared" si="7"/>
        <v>0.16369806402042844</v>
      </c>
      <c r="AB28" s="6">
        <f t="shared" si="13"/>
        <v>49.540883852325685</v>
      </c>
      <c r="AC28" s="21">
        <f t="shared" si="14"/>
        <v>2011.6448645139353</v>
      </c>
      <c r="AD28" s="22">
        <f t="shared" si="16"/>
        <v>358.93958310114948</v>
      </c>
    </row>
    <row r="29" spans="2:30" x14ac:dyDescent="0.25">
      <c r="B29">
        <v>22</v>
      </c>
      <c r="C29" s="9"/>
      <c r="D29" s="21">
        <f t="shared" si="15"/>
        <v>70240.769846190015</v>
      </c>
      <c r="E29">
        <f t="shared" si="17"/>
        <v>3000</v>
      </c>
      <c r="F29" s="21">
        <f t="shared" si="0"/>
        <v>1464.8153969238003</v>
      </c>
      <c r="G29" s="22">
        <f t="shared" si="1"/>
        <v>74705.585243113819</v>
      </c>
      <c r="H29" s="21"/>
      <c r="I29" s="45">
        <v>66</v>
      </c>
      <c r="J29" s="9">
        <f>i!G29</f>
        <v>1.3548992062083987E-2</v>
      </c>
      <c r="K29">
        <f>i!H29</f>
        <v>9.8645100793791612E-3</v>
      </c>
      <c r="L29" s="11">
        <f>i!I29</f>
        <v>0.97658649785853691</v>
      </c>
      <c r="N29" s="28">
        <f t="shared" si="2"/>
        <v>3000</v>
      </c>
      <c r="O29" s="29">
        <v>0</v>
      </c>
      <c r="P29" s="6">
        <f t="shared" si="8"/>
        <v>-75</v>
      </c>
      <c r="Q29" s="29">
        <v>0</v>
      </c>
      <c r="R29" s="29">
        <f t="shared" si="9"/>
        <v>-60</v>
      </c>
      <c r="S29" s="6">
        <f t="shared" si="3"/>
        <v>71.625</v>
      </c>
      <c r="T29" s="6">
        <f t="shared" si="4"/>
        <v>-2130.9583854053317</v>
      </c>
      <c r="U29" s="6">
        <f t="shared" si="5"/>
        <v>-736.93399861661544</v>
      </c>
      <c r="V29" s="21">
        <f t="shared" si="6"/>
        <v>-1.1706751070731547</v>
      </c>
      <c r="W29" s="21"/>
      <c r="X29" s="6">
        <f t="shared" si="10"/>
        <v>67.561940870979726</v>
      </c>
      <c r="Y29" s="30">
        <f t="shared" si="11"/>
        <v>0.65580595426716226</v>
      </c>
      <c r="Z29" s="6">
        <f t="shared" si="12"/>
        <v>44.307523105034448</v>
      </c>
      <c r="AA29" s="31">
        <f t="shared" si="7"/>
        <v>0.15018171011048481</v>
      </c>
      <c r="AB29" s="6">
        <f t="shared" si="13"/>
        <v>6.6541795906738912</v>
      </c>
      <c r="AC29" s="21">
        <f t="shared" si="14"/>
        <v>1967.4178628014868</v>
      </c>
      <c r="AD29" s="22">
        <f t="shared" si="16"/>
        <v>322.06249525981229</v>
      </c>
    </row>
    <row r="30" spans="2:30" x14ac:dyDescent="0.25">
      <c r="B30">
        <v>23</v>
      </c>
      <c r="C30" s="9"/>
      <c r="D30" s="21">
        <f t="shared" si="15"/>
        <v>74705.585243113819</v>
      </c>
      <c r="E30">
        <f t="shared" si="17"/>
        <v>3000</v>
      </c>
      <c r="F30" s="21">
        <f t="shared" si="0"/>
        <v>1554.1117048622764</v>
      </c>
      <c r="G30" s="22">
        <f t="shared" si="1"/>
        <v>79259.696947976103</v>
      </c>
      <c r="H30" s="21"/>
      <c r="I30" s="45">
        <v>67</v>
      </c>
      <c r="J30" s="9">
        <f>i!G30</f>
        <v>1.5150402153237735E-2</v>
      </c>
      <c r="K30">
        <f>i!H30</f>
        <v>9.8484959784676234E-3</v>
      </c>
      <c r="L30" s="11">
        <f>i!I30</f>
        <v>0.9750011018682947</v>
      </c>
      <c r="N30" s="28">
        <f t="shared" si="2"/>
        <v>3000</v>
      </c>
      <c r="O30" s="29">
        <v>0</v>
      </c>
      <c r="P30" s="6">
        <f t="shared" si="8"/>
        <v>-75</v>
      </c>
      <c r="Q30" s="29">
        <v>0</v>
      </c>
      <c r="R30" s="29">
        <f t="shared" si="9"/>
        <v>-60</v>
      </c>
      <c r="S30" s="6">
        <f t="shared" si="3"/>
        <v>71.625</v>
      </c>
      <c r="T30" s="6">
        <f t="shared" si="4"/>
        <v>-2528.0838620389882</v>
      </c>
      <c r="U30" s="6">
        <f t="shared" si="5"/>
        <v>-780.58880664670517</v>
      </c>
      <c r="V30" s="21">
        <f t="shared" si="6"/>
        <v>-1.2499449065852652</v>
      </c>
      <c r="W30" s="21"/>
      <c r="X30" s="6">
        <f t="shared" si="10"/>
        <v>-373.29761359227859</v>
      </c>
      <c r="Y30" s="30">
        <f t="shared" si="11"/>
        <v>0.64045124015254384</v>
      </c>
      <c r="Z30" s="6">
        <f t="shared" si="12"/>
        <v>-239.07891957115993</v>
      </c>
      <c r="AA30" s="31">
        <f t="shared" si="7"/>
        <v>0.13778138542246313</v>
      </c>
      <c r="AB30" s="6">
        <f t="shared" si="13"/>
        <v>-32.940624763820047</v>
      </c>
      <c r="AC30" s="21">
        <f t="shared" si="14"/>
        <v>1921.3537204576314</v>
      </c>
      <c r="AD30" s="22">
        <f t="shared" si="16"/>
        <v>288.5521874654695</v>
      </c>
    </row>
    <row r="31" spans="2:30" x14ac:dyDescent="0.25">
      <c r="B31">
        <v>24</v>
      </c>
      <c r="C31" s="9"/>
      <c r="D31" s="21">
        <f t="shared" si="15"/>
        <v>79259.696947976103</v>
      </c>
      <c r="E31">
        <f t="shared" si="17"/>
        <v>3000</v>
      </c>
      <c r="F31" s="21">
        <f t="shared" si="0"/>
        <v>1645.193938959522</v>
      </c>
      <c r="G31" s="22">
        <f t="shared" si="1"/>
        <v>83904.890886935624</v>
      </c>
      <c r="H31" s="21"/>
      <c r="I31" s="45">
        <v>68</v>
      </c>
      <c r="J31" s="9">
        <f>i!G31</f>
        <v>1.6926055943705037E-2</v>
      </c>
      <c r="K31">
        <f>i!H31</f>
        <v>9.8307394405629505E-3</v>
      </c>
      <c r="L31" s="11">
        <f>i!I31</f>
        <v>0.9732432046157321</v>
      </c>
      <c r="N31" s="28">
        <f t="shared" si="2"/>
        <v>3000</v>
      </c>
      <c r="O31" s="29">
        <v>0</v>
      </c>
      <c r="P31" s="6">
        <f t="shared" si="8"/>
        <v>-75</v>
      </c>
      <c r="Q31" s="29">
        <v>0</v>
      </c>
      <c r="R31" s="29">
        <f t="shared" si="9"/>
        <v>-60</v>
      </c>
      <c r="S31" s="6">
        <f t="shared" si="3"/>
        <v>71.625</v>
      </c>
      <c r="T31" s="6">
        <f t="shared" si="4"/>
        <v>-2989.908906405467</v>
      </c>
      <c r="U31" s="6">
        <f t="shared" si="5"/>
        <v>-824.8471200983289</v>
      </c>
      <c r="V31" s="21">
        <f t="shared" si="6"/>
        <v>-1.3378397692133948</v>
      </c>
      <c r="W31" s="21"/>
      <c r="X31" s="6">
        <f t="shared" si="10"/>
        <v>-879.46886627300921</v>
      </c>
      <c r="Y31" s="30">
        <f t="shared" si="11"/>
        <v>0.62444066484164606</v>
      </c>
      <c r="Z31" s="6">
        <f t="shared" si="12"/>
        <v>-549.17612356304664</v>
      </c>
      <c r="AA31" s="31">
        <f t="shared" si="7"/>
        <v>0.12640494075455333</v>
      </c>
      <c r="AB31" s="6">
        <f t="shared" si="13"/>
        <v>-69.418575362802173</v>
      </c>
      <c r="AC31" s="21">
        <f t="shared" si="14"/>
        <v>1873.3219945249382</v>
      </c>
      <c r="AD31" s="22">
        <f t="shared" si="16"/>
        <v>258.10889974801785</v>
      </c>
    </row>
    <row r="32" spans="2:30" x14ac:dyDescent="0.25">
      <c r="B32">
        <v>25</v>
      </c>
      <c r="C32" s="14"/>
      <c r="D32" s="24">
        <f t="shared" si="15"/>
        <v>83904.890886935624</v>
      </c>
      <c r="E32" s="15">
        <f t="shared" si="17"/>
        <v>3000</v>
      </c>
      <c r="F32" s="24">
        <f t="shared" si="0"/>
        <v>1738.0978177387126</v>
      </c>
      <c r="G32" s="25">
        <f t="shared" si="1"/>
        <v>88642.988704674339</v>
      </c>
      <c r="H32" s="21"/>
      <c r="I32" s="46">
        <v>69</v>
      </c>
      <c r="J32" s="14">
        <f>i!G32</f>
        <v>1.8892098365925411E-2</v>
      </c>
      <c r="K32" s="15">
        <f>i!H32</f>
        <v>0</v>
      </c>
      <c r="L32" s="16">
        <f>i!I32</f>
        <v>0.98110790163407458</v>
      </c>
      <c r="N32" s="32">
        <f t="shared" si="2"/>
        <v>3000</v>
      </c>
      <c r="O32" s="34">
        <v>0</v>
      </c>
      <c r="P32" s="33">
        <f t="shared" si="8"/>
        <v>-75</v>
      </c>
      <c r="Q32" s="34">
        <v>0</v>
      </c>
      <c r="R32" s="34">
        <f t="shared" si="9"/>
        <v>-60</v>
      </c>
      <c r="S32" s="33">
        <f t="shared" si="3"/>
        <v>71.625</v>
      </c>
      <c r="T32" s="33">
        <f t="shared" si="4"/>
        <v>-3525.6524344969794</v>
      </c>
      <c r="U32" s="33">
        <f t="shared" si="5"/>
        <v>0</v>
      </c>
      <c r="V32" s="24">
        <f>-Claim_expense</f>
        <v>-50</v>
      </c>
      <c r="W32" s="24">
        <f>-(1+W4)*G32*L32</f>
        <v>-183094.82593734949</v>
      </c>
      <c r="X32" s="33">
        <f t="shared" si="10"/>
        <v>-183733.85337184646</v>
      </c>
      <c r="Y32" s="35">
        <f t="shared" si="11"/>
        <v>0.60773263374286191</v>
      </c>
      <c r="Z32" s="33">
        <f t="shared" si="12"/>
        <v>-111661.05861739705</v>
      </c>
      <c r="AA32" s="36">
        <f t="shared" si="7"/>
        <v>0.11596783555463605</v>
      </c>
      <c r="AB32" s="33">
        <f t="shared" si="13"/>
        <v>-12949.091283598878</v>
      </c>
      <c r="AC32" s="24">
        <f t="shared" si="14"/>
        <v>1823.1979012285858</v>
      </c>
      <c r="AD32" s="25">
        <f t="shared" si="16"/>
        <v>230.46122268862536</v>
      </c>
    </row>
    <row r="34" spans="32:33" x14ac:dyDescent="0.25">
      <c r="AF34" s="7"/>
      <c r="AG34" s="8"/>
    </row>
  </sheetData>
  <mergeCells count="6">
    <mergeCell ref="O1:R1"/>
    <mergeCell ref="C3:G3"/>
    <mergeCell ref="J5:L5"/>
    <mergeCell ref="O5:P5"/>
    <mergeCell ref="Q5:R5"/>
    <mergeCell ref="N3:AD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8"/>
  <sheetViews>
    <sheetView workbookViewId="0"/>
  </sheetViews>
  <sheetFormatPr defaultRowHeight="15" x14ac:dyDescent="0.25"/>
  <sheetData>
    <row r="3" spans="1:2" x14ac:dyDescent="0.25">
      <c r="A3" t="s">
        <v>39</v>
      </c>
      <c r="B3" t="s">
        <v>50</v>
      </c>
    </row>
    <row r="5" spans="1:2" x14ac:dyDescent="0.25">
      <c r="A5" t="s">
        <v>40</v>
      </c>
      <c r="B5" t="s">
        <v>52</v>
      </c>
    </row>
    <row r="7" spans="1:2" x14ac:dyDescent="0.25">
      <c r="A7" t="s">
        <v>51</v>
      </c>
      <c r="B7" t="s">
        <v>49</v>
      </c>
    </row>
    <row r="8" spans="1:2" x14ac:dyDescent="0.25">
      <c r="B8" t="s">
        <v>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E9B71B-D164-42EF-B3D6-8B446FEF9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04D609-B13E-4D7F-B49D-8C0F62D77759}">
  <ds:schemaRefs>
    <ds:schemaRef ds:uri="e0a82e4c-fab7-409b-9177-d9582bcd9bf0"/>
    <ds:schemaRef ds:uri="http://purl.org/dc/dcmitype/"/>
    <ds:schemaRef ds:uri="http://schemas.microsoft.com/office/2006/documentManagement/types"/>
    <ds:schemaRef ds:uri="cfdab824-e670-41f2-a5ee-7d4504103506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758F34-7231-4E23-BE70-7258ECB72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Profit Test Assumptions</vt:lpstr>
      <vt:lpstr>Mortality</vt:lpstr>
      <vt:lpstr>i</vt:lpstr>
      <vt:lpstr>ii</vt:lpstr>
      <vt:lpstr>iii</vt:lpstr>
      <vt:lpstr>Answers</vt:lpstr>
      <vt:lpstr>Claim_expense</vt:lpstr>
      <vt:lpstr>Initial_commission</vt:lpstr>
      <vt:lpstr>Initial_expense</vt:lpstr>
      <vt:lpstr>Mortality</vt:lpstr>
      <vt:lpstr>NUF_Interest_rate</vt:lpstr>
      <vt:lpstr>Renewal_commission</vt:lpstr>
      <vt:lpstr>Renewal_expense</vt:lpstr>
      <vt:lpstr>Risk_discount_rate</vt:lpstr>
      <vt:lpstr>Surrender_year_1</vt:lpstr>
      <vt:lpstr>Surrender_year_2</vt:lpstr>
      <vt:lpstr>Surrender_year_3_24</vt:lpstr>
      <vt:lpstr>UF_Growth_Rate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2019-06-24T17:26:39Z</dcterms:created>
  <dcterms:modified xsi:type="dcterms:W3CDTF">2025-11-12T12:01:14Z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