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0730" windowHeight="11760"/>
  </bookViews>
  <sheets>
    <sheet name="Q1 Base" sheetId="1" r:id="rId1"/>
    <sheet name="Q1 (i)" sheetId="2" r:id="rId2"/>
    <sheet name="Q1 (i) Alternative" sheetId="16" r:id="rId3"/>
    <sheet name="Q1 (ii)" sheetId="3" r:id="rId4"/>
    <sheet name="Q1 (iii)" sheetId="4" r:id="rId5"/>
    <sheet name="Q1 (iv)" sheetId="5" r:id="rId6"/>
    <sheet name="Q1 Answers" sheetId="6" r:id="rId7"/>
    <sheet name="Q2 (i)" sheetId="10" r:id="rId8"/>
    <sheet name="Q2 (ii)" sheetId="11" r:id="rId9"/>
    <sheet name="Q2 (iii)" sheetId="12" r:id="rId10"/>
    <sheet name="Q2 (iv)" sheetId="13" r:id="rId11"/>
    <sheet name="Q2 Answers" sheetId="15" r:id="rId12"/>
    <sheet name="Q2 (iv) with outgo" sheetId="17" r:id="rId1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8" i="2"/>
  <c r="L38"/>
  <c r="B6" i="17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O18"/>
  <c r="G9"/>
  <c r="I9" s="1"/>
  <c r="B9"/>
  <c r="B7"/>
  <c r="E25" s="1"/>
  <c r="F25" s="1"/>
  <c r="D3"/>
  <c r="E15" l="1"/>
  <c r="E20"/>
  <c r="F20" s="1"/>
  <c r="E27"/>
  <c r="F27" s="1"/>
  <c r="E19"/>
  <c r="F19" s="1"/>
  <c r="E26"/>
  <c r="F26" s="1"/>
  <c r="E24"/>
  <c r="F24" s="1"/>
  <c r="E22"/>
  <c r="F22" s="1"/>
  <c r="E28"/>
  <c r="F28" s="1"/>
  <c r="E23"/>
  <c r="F23" s="1"/>
  <c r="E11"/>
  <c r="H11" s="1"/>
  <c r="E9"/>
  <c r="E17"/>
  <c r="H17" s="1"/>
  <c r="H15"/>
  <c r="F15"/>
  <c r="E12"/>
  <c r="E16"/>
  <c r="E10"/>
  <c r="E14"/>
  <c r="E18"/>
  <c r="E21"/>
  <c r="F21" s="1"/>
  <c r="E13"/>
  <c r="F11" l="1"/>
  <c r="F17"/>
  <c r="H18"/>
  <c r="F18"/>
  <c r="F12"/>
  <c r="H12"/>
  <c r="F13"/>
  <c r="H13"/>
  <c r="H10"/>
  <c r="F10"/>
  <c r="H14"/>
  <c r="F14"/>
  <c r="F16"/>
  <c r="H16"/>
  <c r="B6" i="13" l="1"/>
  <c r="D3"/>
  <c r="H45" i="10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M35" i="16"/>
  <c r="M34" s="1"/>
  <c r="M33" s="1"/>
  <c r="M32" s="1"/>
  <c r="M31" s="1"/>
  <c r="M30" s="1"/>
  <c r="M29" s="1"/>
  <c r="M28" s="1"/>
  <c r="M27" s="1"/>
  <c r="M26" s="1"/>
  <c r="M25" s="1"/>
  <c r="M24" s="1"/>
  <c r="M23" s="1"/>
  <c r="M22" s="1"/>
  <c r="M21" s="1"/>
  <c r="M20" s="1"/>
  <c r="M19" s="1"/>
  <c r="M18" s="1"/>
  <c r="M17" s="1"/>
  <c r="M16" s="1"/>
  <c r="M15" s="1"/>
  <c r="M14" s="1"/>
  <c r="M13" s="1"/>
  <c r="M12" s="1"/>
  <c r="M11" s="1"/>
  <c r="M10" s="1"/>
  <c r="M9" s="1"/>
  <c r="M8" s="1"/>
  <c r="M7" s="1"/>
  <c r="M6" s="1"/>
  <c r="M5" s="1"/>
  <c r="B7" i="13"/>
  <c r="K38" i="16"/>
  <c r="K38" i="2"/>
  <c r="N35" i="16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5"/>
  <c r="G5"/>
  <c r="G6" s="1"/>
  <c r="F5"/>
  <c r="I6" s="1"/>
  <c r="K6" s="1"/>
  <c r="K5" l="1"/>
  <c r="N6"/>
  <c r="N5"/>
  <c r="F6"/>
  <c r="G7"/>
  <c r="M45" i="4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B28" i="13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B17"/>
  <c r="B16"/>
  <c r="B15"/>
  <c r="B14"/>
  <c r="B13"/>
  <c r="B12"/>
  <c r="B11"/>
  <c r="B10"/>
  <c r="B9"/>
  <c r="G8" i="16" l="1"/>
  <c r="I7"/>
  <c r="F7"/>
  <c r="C5" i="15"/>
  <c r="K7" i="16" l="1"/>
  <c r="N7"/>
  <c r="F8"/>
  <c r="I8"/>
  <c r="G9"/>
  <c r="F6" i="10"/>
  <c r="B3"/>
  <c r="L18" i="13"/>
  <c r="C7" i="15" s="1"/>
  <c r="D9" i="13"/>
  <c r="F9" s="1"/>
  <c r="D3" i="12"/>
  <c r="G3" s="1"/>
  <c r="G2"/>
  <c r="B4" s="1"/>
  <c r="E8" i="11"/>
  <c r="E9" s="1"/>
  <c r="F9" s="1"/>
  <c r="G9" s="1"/>
  <c r="E7"/>
  <c r="F7" s="1"/>
  <c r="G7" s="1"/>
  <c r="D6"/>
  <c r="B3"/>
  <c r="F6" s="1"/>
  <c r="K8" i="16" l="1"/>
  <c r="N8"/>
  <c r="G10"/>
  <c r="I9"/>
  <c r="F9"/>
  <c r="C11" i="13"/>
  <c r="E11" s="1"/>
  <c r="G6" i="11"/>
  <c r="H6" s="1"/>
  <c r="H7" s="1"/>
  <c r="C13" i="13"/>
  <c r="E13" s="1"/>
  <c r="C17"/>
  <c r="E17" s="1"/>
  <c r="I10" i="10"/>
  <c r="I14"/>
  <c r="I18"/>
  <c r="I22"/>
  <c r="I26"/>
  <c r="I30"/>
  <c r="I34"/>
  <c r="I38"/>
  <c r="I42"/>
  <c r="C10" i="13"/>
  <c r="E10" s="1"/>
  <c r="C14"/>
  <c r="E14" s="1"/>
  <c r="C18"/>
  <c r="E18" s="1"/>
  <c r="I6" i="10"/>
  <c r="J6" s="1"/>
  <c r="I11"/>
  <c r="I15"/>
  <c r="I19"/>
  <c r="I23"/>
  <c r="I27"/>
  <c r="I31"/>
  <c r="I35"/>
  <c r="I39"/>
  <c r="I43"/>
  <c r="C15" i="13"/>
  <c r="E15" s="1"/>
  <c r="I12" i="10"/>
  <c r="I16"/>
  <c r="I20"/>
  <c r="I24"/>
  <c r="I28"/>
  <c r="I32"/>
  <c r="I36"/>
  <c r="I40"/>
  <c r="I44"/>
  <c r="F8" i="11"/>
  <c r="G8" s="1"/>
  <c r="C9" i="13"/>
  <c r="E9" s="1"/>
  <c r="H9" s="1"/>
  <c r="I9" s="1"/>
  <c r="D10" s="1"/>
  <c r="C12"/>
  <c r="E12" s="1"/>
  <c r="C16"/>
  <c r="E16" s="1"/>
  <c r="I9" i="10"/>
  <c r="I13"/>
  <c r="I17"/>
  <c r="I21"/>
  <c r="I25"/>
  <c r="I29"/>
  <c r="I33"/>
  <c r="I37"/>
  <c r="I41"/>
  <c r="I45"/>
  <c r="I8"/>
  <c r="I7"/>
  <c r="J7" s="1"/>
  <c r="G9" i="13"/>
  <c r="E10" i="11"/>
  <c r="J8" i="10" l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K9" i="16"/>
  <c r="N9"/>
  <c r="I10"/>
  <c r="F10"/>
  <c r="G11"/>
  <c r="H8" i="11"/>
  <c r="H9" s="1"/>
  <c r="F10" i="13"/>
  <c r="F10" i="11"/>
  <c r="G10" s="1"/>
  <c r="H10" s="1"/>
  <c r="E12"/>
  <c r="E11"/>
  <c r="F11" s="1"/>
  <c r="G11" s="1"/>
  <c r="E1" l="1"/>
  <c r="C1" i="15"/>
  <c r="K10" i="16"/>
  <c r="N10"/>
  <c r="I11"/>
  <c r="F11"/>
  <c r="G12"/>
  <c r="G10" i="13"/>
  <c r="H10"/>
  <c r="I10" s="1"/>
  <c r="D11" s="1"/>
  <c r="E13" i="11"/>
  <c r="F13" s="1"/>
  <c r="G13" s="1"/>
  <c r="F12"/>
  <c r="G12" s="1"/>
  <c r="E14"/>
  <c r="H11"/>
  <c r="K11" i="16" l="1"/>
  <c r="N11"/>
  <c r="G13"/>
  <c r="I12"/>
  <c r="F12"/>
  <c r="H12" i="11"/>
  <c r="H13" s="1"/>
  <c r="F11" i="13"/>
  <c r="F14" i="11"/>
  <c r="G14" s="1"/>
  <c r="H14" s="1"/>
  <c r="H15" s="1"/>
  <c r="E16"/>
  <c r="E15"/>
  <c r="F15" s="1"/>
  <c r="G15" s="1"/>
  <c r="K12" i="16" l="1"/>
  <c r="N12"/>
  <c r="I13"/>
  <c r="F13"/>
  <c r="G14"/>
  <c r="G11" i="13"/>
  <c r="H11"/>
  <c r="I11" s="1"/>
  <c r="D12" s="1"/>
  <c r="E17" i="11"/>
  <c r="F17" s="1"/>
  <c r="G17" s="1"/>
  <c r="F16"/>
  <c r="G16" s="1"/>
  <c r="H16" s="1"/>
  <c r="H17" s="1"/>
  <c r="E18"/>
  <c r="K13" i="16" l="1"/>
  <c r="N13"/>
  <c r="G15"/>
  <c r="I14"/>
  <c r="F14"/>
  <c r="F12" i="13"/>
  <c r="F18" i="11"/>
  <c r="G18" s="1"/>
  <c r="H18" s="1"/>
  <c r="E20"/>
  <c r="E19"/>
  <c r="F19" s="1"/>
  <c r="G19" s="1"/>
  <c r="K14" i="16" l="1"/>
  <c r="N14"/>
  <c r="I15"/>
  <c r="F15"/>
  <c r="G16"/>
  <c r="H19" i="11"/>
  <c r="G12" i="13"/>
  <c r="H12"/>
  <c r="I12" s="1"/>
  <c r="D13" s="1"/>
  <c r="F20" i="11"/>
  <c r="G20" s="1"/>
  <c r="H20" s="1"/>
  <c r="H21" s="1"/>
  <c r="E22"/>
  <c r="E21"/>
  <c r="F21" s="1"/>
  <c r="G21" s="1"/>
  <c r="K15" i="16" l="1"/>
  <c r="N15"/>
  <c r="G17"/>
  <c r="I16"/>
  <c r="F16"/>
  <c r="F13" i="13"/>
  <c r="F22" i="11"/>
  <c r="G22" s="1"/>
  <c r="H22" s="1"/>
  <c r="E24"/>
  <c r="E23"/>
  <c r="F23" s="1"/>
  <c r="G23" s="1"/>
  <c r="K16" i="16" l="1"/>
  <c r="N16"/>
  <c r="F17"/>
  <c r="I17"/>
  <c r="G18"/>
  <c r="H23" i="11"/>
  <c r="G13" i="13"/>
  <c r="H13"/>
  <c r="I13" s="1"/>
  <c r="D14" s="1"/>
  <c r="E25" i="11"/>
  <c r="F25" s="1"/>
  <c r="G25" s="1"/>
  <c r="F24"/>
  <c r="G24" s="1"/>
  <c r="H24" s="1"/>
  <c r="K17" i="16" l="1"/>
  <c r="N17"/>
  <c r="I18"/>
  <c r="F18"/>
  <c r="G19"/>
  <c r="H25" i="11"/>
  <c r="F14" i="13"/>
  <c r="H30" i="11"/>
  <c r="H31" s="1"/>
  <c r="H28"/>
  <c r="C3" i="15" l="1"/>
  <c r="C9" i="17"/>
  <c r="F9" s="1"/>
  <c r="H9" s="1"/>
  <c r="K18" i="16"/>
  <c r="N18"/>
  <c r="G20"/>
  <c r="I19"/>
  <c r="F19"/>
  <c r="H14" i="13"/>
  <c r="I14" s="1"/>
  <c r="D15" s="1"/>
  <c r="G14"/>
  <c r="K9" i="17" l="1"/>
  <c r="L9" s="1"/>
  <c r="G10" s="1"/>
  <c r="I10" s="1"/>
  <c r="J9"/>
  <c r="K19" i="16"/>
  <c r="N19"/>
  <c r="I20"/>
  <c r="F20"/>
  <c r="G21"/>
  <c r="F15" i="13"/>
  <c r="K10" i="17" l="1"/>
  <c r="L10" s="1"/>
  <c r="G11" s="1"/>
  <c r="I11" s="1"/>
  <c r="J10"/>
  <c r="K20" i="16"/>
  <c r="N20"/>
  <c r="F21"/>
  <c r="I21"/>
  <c r="G22"/>
  <c r="G15" i="13"/>
  <c r="H15"/>
  <c r="I15" s="1"/>
  <c r="D16" s="1"/>
  <c r="K11" i="17" l="1"/>
  <c r="L11" s="1"/>
  <c r="G12" s="1"/>
  <c r="I12" s="1"/>
  <c r="J11"/>
  <c r="K21" i="16"/>
  <c r="N21"/>
  <c r="I22"/>
  <c r="F22"/>
  <c r="G23"/>
  <c r="F16" i="13"/>
  <c r="J12" i="17" l="1"/>
  <c r="K12"/>
  <c r="L12" s="1"/>
  <c r="G13" s="1"/>
  <c r="I13" s="1"/>
  <c r="K22" i="16"/>
  <c r="N22"/>
  <c r="G24"/>
  <c r="I23"/>
  <c r="F23"/>
  <c r="H16" i="13"/>
  <c r="I16" s="1"/>
  <c r="D17" s="1"/>
  <c r="G16"/>
  <c r="J13" i="17" l="1"/>
  <c r="K13"/>
  <c r="L13" s="1"/>
  <c r="G14" s="1"/>
  <c r="I14" s="1"/>
  <c r="K23" i="16"/>
  <c r="N23"/>
  <c r="I24"/>
  <c r="F24"/>
  <c r="G25"/>
  <c r="F17" i="13"/>
  <c r="J14" i="17" l="1"/>
  <c r="K14"/>
  <c r="L14" s="1"/>
  <c r="G15" s="1"/>
  <c r="I15" s="1"/>
  <c r="K24" i="16"/>
  <c r="N24"/>
  <c r="G26"/>
  <c r="F25"/>
  <c r="I25"/>
  <c r="H17" i="13"/>
  <c r="I17" s="1"/>
  <c r="D18" s="1"/>
  <c r="G17"/>
  <c r="K15" i="17" l="1"/>
  <c r="L15" s="1"/>
  <c r="G16" s="1"/>
  <c r="I16" s="1"/>
  <c r="J15"/>
  <c r="K25" i="16"/>
  <c r="N25"/>
  <c r="G27"/>
  <c r="I26"/>
  <c r="F26"/>
  <c r="F18" i="13"/>
  <c r="J16" i="17" l="1"/>
  <c r="K16"/>
  <c r="L16" s="1"/>
  <c r="G17" s="1"/>
  <c r="I17" s="1"/>
  <c r="K26" i="16"/>
  <c r="N26"/>
  <c r="I27"/>
  <c r="F27"/>
  <c r="G28"/>
  <c r="G18" i="13"/>
  <c r="H18"/>
  <c r="I18" s="1"/>
  <c r="J17" i="17" l="1"/>
  <c r="K17"/>
  <c r="L17" s="1"/>
  <c r="G18" s="1"/>
  <c r="I18" s="1"/>
  <c r="K27" i="16"/>
  <c r="N27"/>
  <c r="G29"/>
  <c r="I28"/>
  <c r="F28"/>
  <c r="V45" i="4"/>
  <c r="J18" i="17" l="1"/>
  <c r="K18"/>
  <c r="L18" s="1"/>
  <c r="K28" i="16"/>
  <c r="N28"/>
  <c r="F29"/>
  <c r="I29"/>
  <c r="G30"/>
  <c r="N45" i="4"/>
  <c r="J34" i="2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K29" i="16" l="1"/>
  <c r="N29"/>
  <c r="G31"/>
  <c r="I30"/>
  <c r="F30"/>
  <c r="B4" i="3"/>
  <c r="B5" s="1"/>
  <c r="F3"/>
  <c r="E3"/>
  <c r="I5" i="2"/>
  <c r="K30" i="16" l="1"/>
  <c r="N30"/>
  <c r="I31"/>
  <c r="F31"/>
  <c r="G32"/>
  <c r="G3" i="3"/>
  <c r="H3" s="1"/>
  <c r="B6"/>
  <c r="F5"/>
  <c r="F4"/>
  <c r="E4"/>
  <c r="E5"/>
  <c r="V44" i="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K31" i="16" l="1"/>
  <c r="N31"/>
  <c r="G33"/>
  <c r="I32"/>
  <c r="F32"/>
  <c r="B7" i="3"/>
  <c r="F6"/>
  <c r="E6"/>
  <c r="I3"/>
  <c r="G4"/>
  <c r="H4" s="1"/>
  <c r="G5"/>
  <c r="H5" s="1"/>
  <c r="I5"/>
  <c r="J3"/>
  <c r="G5" i="2"/>
  <c r="F5"/>
  <c r="K32" i="16" l="1"/>
  <c r="N32"/>
  <c r="F33"/>
  <c r="I33"/>
  <c r="G34"/>
  <c r="I4" i="3"/>
  <c r="G6"/>
  <c r="H6" s="1"/>
  <c r="I6"/>
  <c r="E7"/>
  <c r="F7"/>
  <c r="B8"/>
  <c r="J5"/>
  <c r="J4"/>
  <c r="H5" i="2"/>
  <c r="F6"/>
  <c r="I6"/>
  <c r="G6"/>
  <c r="K5"/>
  <c r="F7"/>
  <c r="N44" i="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B4"/>
  <c r="B5" s="1"/>
  <c r="E5" s="1"/>
  <c r="F3"/>
  <c r="E3"/>
  <c r="K33" i="16" l="1"/>
  <c r="N33"/>
  <c r="I34"/>
  <c r="F34"/>
  <c r="F8" i="3"/>
  <c r="E8"/>
  <c r="B9"/>
  <c r="J6"/>
  <c r="G7"/>
  <c r="H7" s="1"/>
  <c r="H6" i="2"/>
  <c r="L6" s="1"/>
  <c r="H7"/>
  <c r="G7"/>
  <c r="I8"/>
  <c r="L5"/>
  <c r="I7"/>
  <c r="F8"/>
  <c r="G3" i="4"/>
  <c r="H3" s="1"/>
  <c r="E4"/>
  <c r="F4"/>
  <c r="F5"/>
  <c r="G5" s="1"/>
  <c r="H5" s="1"/>
  <c r="I3"/>
  <c r="B6"/>
  <c r="K34" i="16" l="1"/>
  <c r="N34"/>
  <c r="N38" s="1"/>
  <c r="J7" i="3"/>
  <c r="B10"/>
  <c r="F9"/>
  <c r="E9"/>
  <c r="I7"/>
  <c r="G8"/>
  <c r="H8" s="1"/>
  <c r="J8"/>
  <c r="G8" i="2"/>
  <c r="H8"/>
  <c r="L7"/>
  <c r="I9"/>
  <c r="F9"/>
  <c r="J3" i="4"/>
  <c r="G4"/>
  <c r="F6"/>
  <c r="E6"/>
  <c r="B7"/>
  <c r="I5"/>
  <c r="J5"/>
  <c r="G9" i="2" l="1"/>
  <c r="G10" s="1"/>
  <c r="L8"/>
  <c r="B11" i="3"/>
  <c r="F10"/>
  <c r="E10"/>
  <c r="G9"/>
  <c r="H9" s="1"/>
  <c r="I8"/>
  <c r="H9" i="2"/>
  <c r="I10"/>
  <c r="H4" i="4"/>
  <c r="I4" s="1"/>
  <c r="G6"/>
  <c r="H6" s="1"/>
  <c r="B8"/>
  <c r="F7"/>
  <c r="E7"/>
  <c r="I9" i="3" l="1"/>
  <c r="E11"/>
  <c r="B12"/>
  <c r="F11"/>
  <c r="G10"/>
  <c r="H10" s="1"/>
  <c r="I10"/>
  <c r="J9"/>
  <c r="L9" i="2"/>
  <c r="G11"/>
  <c r="J4" i="4"/>
  <c r="J6"/>
  <c r="B9"/>
  <c r="F8"/>
  <c r="E8"/>
  <c r="G7"/>
  <c r="H7" s="1"/>
  <c r="I6"/>
  <c r="F12" i="3" l="1"/>
  <c r="E12"/>
  <c r="B13"/>
  <c r="I11"/>
  <c r="G11"/>
  <c r="H11" s="1"/>
  <c r="J11"/>
  <c r="J10"/>
  <c r="G12" i="2"/>
  <c r="I7" i="4"/>
  <c r="J7"/>
  <c r="G8"/>
  <c r="H8" s="1"/>
  <c r="E9"/>
  <c r="F9"/>
  <c r="B10"/>
  <c r="B14" i="3" l="1"/>
  <c r="F13"/>
  <c r="E13"/>
  <c r="I12"/>
  <c r="G12"/>
  <c r="H12" s="1"/>
  <c r="J12"/>
  <c r="G13" i="2"/>
  <c r="J8" i="4"/>
  <c r="I8"/>
  <c r="G9"/>
  <c r="H9" s="1"/>
  <c r="F10"/>
  <c r="E10"/>
  <c r="B11"/>
  <c r="G13" i="3" l="1"/>
  <c r="H13" s="1"/>
  <c r="I13"/>
  <c r="J13"/>
  <c r="B15"/>
  <c r="F14"/>
  <c r="E14"/>
  <c r="G14" i="2"/>
  <c r="J9" i="4"/>
  <c r="G10"/>
  <c r="H10" s="1"/>
  <c r="J10" s="1"/>
  <c r="B12"/>
  <c r="F11"/>
  <c r="E11"/>
  <c r="I9"/>
  <c r="E15" i="3" l="1"/>
  <c r="F15"/>
  <c r="B16"/>
  <c r="G14"/>
  <c r="H14" s="1"/>
  <c r="G15" i="2"/>
  <c r="B13" i="4"/>
  <c r="E12"/>
  <c r="F12"/>
  <c r="G11"/>
  <c r="H11" s="1"/>
  <c r="I10"/>
  <c r="F16" i="3" l="1"/>
  <c r="E16"/>
  <c r="B17"/>
  <c r="J14"/>
  <c r="I14"/>
  <c r="G15"/>
  <c r="H15" s="1"/>
  <c r="G16" i="2"/>
  <c r="G12" i="4"/>
  <c r="H12" s="1"/>
  <c r="J11"/>
  <c r="I11"/>
  <c r="E13"/>
  <c r="B14"/>
  <c r="F13"/>
  <c r="I15" i="3" l="1"/>
  <c r="B18"/>
  <c r="F17"/>
  <c r="E17"/>
  <c r="G16"/>
  <c r="H16" s="1"/>
  <c r="J15"/>
  <c r="J16"/>
  <c r="G17" i="2"/>
  <c r="I12" i="4"/>
  <c r="F14"/>
  <c r="E14"/>
  <c r="B15"/>
  <c r="G13"/>
  <c r="H13" s="1"/>
  <c r="J12"/>
  <c r="G17" i="3" l="1"/>
  <c r="H17" s="1"/>
  <c r="I17" s="1"/>
  <c r="J17"/>
  <c r="B19"/>
  <c r="F18"/>
  <c r="E18"/>
  <c r="I16"/>
  <c r="G18" i="2"/>
  <c r="B16" i="4"/>
  <c r="F15"/>
  <c r="E15"/>
  <c r="G14"/>
  <c r="H14" s="1"/>
  <c r="I13"/>
  <c r="J13"/>
  <c r="E19" i="3" l="1"/>
  <c r="B20"/>
  <c r="F19"/>
  <c r="G18"/>
  <c r="H18" s="1"/>
  <c r="G19" i="2"/>
  <c r="I14" i="4"/>
  <c r="J14"/>
  <c r="G15"/>
  <c r="H15" s="1"/>
  <c r="B17"/>
  <c r="F16"/>
  <c r="E16"/>
  <c r="I15" l="1"/>
  <c r="F20" i="3"/>
  <c r="B21"/>
  <c r="E20"/>
  <c r="J18"/>
  <c r="I18"/>
  <c r="G19"/>
  <c r="H19" s="1"/>
  <c r="G20" i="2"/>
  <c r="E17" i="4"/>
  <c r="B18"/>
  <c r="F17"/>
  <c r="G16"/>
  <c r="H16" s="1"/>
  <c r="J15"/>
  <c r="G20" i="3" l="1"/>
  <c r="H20" s="1"/>
  <c r="B22"/>
  <c r="E21"/>
  <c r="F21"/>
  <c r="I19"/>
  <c r="J20"/>
  <c r="J19"/>
  <c r="G21" i="2"/>
  <c r="J16" i="4"/>
  <c r="B19"/>
  <c r="F18"/>
  <c r="E18"/>
  <c r="I16"/>
  <c r="G17"/>
  <c r="H17" s="1"/>
  <c r="G21" i="3" l="1"/>
  <c r="H21" s="1"/>
  <c r="F22"/>
  <c r="E22"/>
  <c r="B23"/>
  <c r="I20"/>
  <c r="G22" i="2"/>
  <c r="I17" i="4"/>
  <c r="G18"/>
  <c r="H18" s="1"/>
  <c r="B20"/>
  <c r="F19"/>
  <c r="E19"/>
  <c r="J17"/>
  <c r="G22" i="3" l="1"/>
  <c r="H22" s="1"/>
  <c r="J21"/>
  <c r="B24"/>
  <c r="E23"/>
  <c r="F23"/>
  <c r="I21"/>
  <c r="J18" i="4"/>
  <c r="I18"/>
  <c r="G23" i="2"/>
  <c r="E20" i="4"/>
  <c r="B21"/>
  <c r="F20"/>
  <c r="G19"/>
  <c r="H19" s="1"/>
  <c r="F24" i="3" l="1"/>
  <c r="B25"/>
  <c r="E24"/>
  <c r="J22"/>
  <c r="G23"/>
  <c r="H23" s="1"/>
  <c r="I23"/>
  <c r="J23"/>
  <c r="I22"/>
  <c r="G24" i="2"/>
  <c r="I19" i="4"/>
  <c r="G20"/>
  <c r="H20" s="1"/>
  <c r="J20" s="1"/>
  <c r="O20" s="1"/>
  <c r="J19"/>
  <c r="F21"/>
  <c r="E21"/>
  <c r="B22"/>
  <c r="G24" i="3" l="1"/>
  <c r="H24" s="1"/>
  <c r="B26"/>
  <c r="E25"/>
  <c r="F25"/>
  <c r="J24"/>
  <c r="G25" i="2"/>
  <c r="P20" i="4"/>
  <c r="B23"/>
  <c r="F22"/>
  <c r="E22"/>
  <c r="G21"/>
  <c r="H21" s="1"/>
  <c r="I20"/>
  <c r="G25" i="3" l="1"/>
  <c r="H25" s="1"/>
  <c r="F26"/>
  <c r="B27"/>
  <c r="E26"/>
  <c r="I24"/>
  <c r="Q20" i="4"/>
  <c r="S20" s="1"/>
  <c r="T20"/>
  <c r="G26" i="2"/>
  <c r="I21" i="4"/>
  <c r="J21"/>
  <c r="O21" s="1"/>
  <c r="G22"/>
  <c r="H22" s="1"/>
  <c r="B24"/>
  <c r="F23"/>
  <c r="E23"/>
  <c r="J25" i="3" l="1"/>
  <c r="F27"/>
  <c r="B28"/>
  <c r="E27"/>
  <c r="G26"/>
  <c r="H26" s="1"/>
  <c r="I25"/>
  <c r="R20" i="4"/>
  <c r="U20" s="1"/>
  <c r="W20" s="1"/>
  <c r="I22"/>
  <c r="G27" i="2"/>
  <c r="J22" i="4"/>
  <c r="O22" s="1"/>
  <c r="P22" s="1"/>
  <c r="Q22" s="1"/>
  <c r="S22" s="1"/>
  <c r="P21"/>
  <c r="Q21" s="1"/>
  <c r="S21" s="1"/>
  <c r="E24"/>
  <c r="B25"/>
  <c r="F24"/>
  <c r="G23"/>
  <c r="H23" s="1"/>
  <c r="F28" i="3" l="1"/>
  <c r="B29"/>
  <c r="E28"/>
  <c r="I26"/>
  <c r="J26"/>
  <c r="G27"/>
  <c r="H27" s="1"/>
  <c r="T21" i="4"/>
  <c r="G28" i="2"/>
  <c r="R22" i="4"/>
  <c r="R21"/>
  <c r="U21" s="1"/>
  <c r="W21" s="1"/>
  <c r="J23"/>
  <c r="O23" s="1"/>
  <c r="F25"/>
  <c r="E25"/>
  <c r="B26"/>
  <c r="I23"/>
  <c r="G24"/>
  <c r="H24" s="1"/>
  <c r="U22" l="1"/>
  <c r="W22" s="1"/>
  <c r="I27" i="3"/>
  <c r="G28"/>
  <c r="H28" s="1"/>
  <c r="B30"/>
  <c r="E29"/>
  <c r="F29"/>
  <c r="J27"/>
  <c r="J28"/>
  <c r="T22" i="4"/>
  <c r="G29" i="2"/>
  <c r="P23" i="4"/>
  <c r="Q23" s="1"/>
  <c r="S23" s="1"/>
  <c r="G25"/>
  <c r="H25" s="1"/>
  <c r="I24"/>
  <c r="B27"/>
  <c r="F26"/>
  <c r="E26"/>
  <c r="J24"/>
  <c r="O24" s="1"/>
  <c r="I28" i="3" l="1"/>
  <c r="G29"/>
  <c r="H29" s="1"/>
  <c r="F30"/>
  <c r="B31"/>
  <c r="E30"/>
  <c r="T23" i="4"/>
  <c r="G30" i="2"/>
  <c r="J25" i="4"/>
  <c r="O25" s="1"/>
  <c r="P25" s="1"/>
  <c r="Q25" s="1"/>
  <c r="S25" s="1"/>
  <c r="R23"/>
  <c r="U23" s="1"/>
  <c r="W23" s="1"/>
  <c r="P24"/>
  <c r="Q24" s="1"/>
  <c r="S24" s="1"/>
  <c r="G26"/>
  <c r="H26" s="1"/>
  <c r="B28"/>
  <c r="F27"/>
  <c r="E27"/>
  <c r="I25"/>
  <c r="G30" i="3" l="1"/>
  <c r="H30" s="1"/>
  <c r="J29"/>
  <c r="F31"/>
  <c r="B32"/>
  <c r="E31"/>
  <c r="J30"/>
  <c r="I29"/>
  <c r="T24" i="4"/>
  <c r="G31" i="2"/>
  <c r="J26" i="4"/>
  <c r="O26" s="1"/>
  <c r="P26" s="1"/>
  <c r="Q26" s="1"/>
  <c r="R26" s="1"/>
  <c r="R25"/>
  <c r="I26"/>
  <c r="R24"/>
  <c r="U24" s="1"/>
  <c r="W24" s="1"/>
  <c r="G27"/>
  <c r="H27" s="1"/>
  <c r="I27" s="1"/>
  <c r="E28"/>
  <c r="B29"/>
  <c r="F28"/>
  <c r="I30" i="3" l="1"/>
  <c r="U25" i="4"/>
  <c r="F32" i="3"/>
  <c r="B33"/>
  <c r="E32"/>
  <c r="G31"/>
  <c r="H31" s="1"/>
  <c r="I31"/>
  <c r="J27" i="4"/>
  <c r="O27" s="1"/>
  <c r="T25"/>
  <c r="U26" s="1"/>
  <c r="W25"/>
  <c r="G32" i="2"/>
  <c r="S26" i="4"/>
  <c r="P27"/>
  <c r="Q27" s="1"/>
  <c r="S27" s="1"/>
  <c r="F29"/>
  <c r="E29"/>
  <c r="B30"/>
  <c r="G28"/>
  <c r="H28" s="1"/>
  <c r="J28" s="1"/>
  <c r="O28" s="1"/>
  <c r="J31" i="3" l="1"/>
  <c r="G32"/>
  <c r="H32" s="1"/>
  <c r="B34"/>
  <c r="E33"/>
  <c r="F33"/>
  <c r="J32"/>
  <c r="T26" i="4"/>
  <c r="W26"/>
  <c r="G33" i="2"/>
  <c r="R27" i="4"/>
  <c r="P28"/>
  <c r="Q28" s="1"/>
  <c r="R28" s="1"/>
  <c r="I28"/>
  <c r="B31"/>
  <c r="F30"/>
  <c r="E30"/>
  <c r="G29"/>
  <c r="H29" s="1"/>
  <c r="U27" l="1"/>
  <c r="W27" s="1"/>
  <c r="I32" i="3"/>
  <c r="F34"/>
  <c r="E34"/>
  <c r="B35"/>
  <c r="G33"/>
  <c r="H33" s="1"/>
  <c r="T27" i="4"/>
  <c r="U28" s="1"/>
  <c r="G34" i="2"/>
  <c r="S28" i="4"/>
  <c r="I29"/>
  <c r="J29"/>
  <c r="O29" s="1"/>
  <c r="G30"/>
  <c r="H30" s="1"/>
  <c r="I30" s="1"/>
  <c r="B32"/>
  <c r="F31"/>
  <c r="E31"/>
  <c r="F35" i="3" l="1"/>
  <c r="B36"/>
  <c r="E35"/>
  <c r="J33"/>
  <c r="I33"/>
  <c r="G34"/>
  <c r="H34" s="1"/>
  <c r="T28" i="4"/>
  <c r="W28"/>
  <c r="J30"/>
  <c r="O30" s="1"/>
  <c r="P30" s="1"/>
  <c r="Q30" s="1"/>
  <c r="R30" s="1"/>
  <c r="P29"/>
  <c r="Q29" s="1"/>
  <c r="S29" s="1"/>
  <c r="E32"/>
  <c r="B33"/>
  <c r="F32"/>
  <c r="G31"/>
  <c r="H31" s="1"/>
  <c r="J34" i="3" l="1"/>
  <c r="I34"/>
  <c r="G35"/>
  <c r="H35" s="1"/>
  <c r="F36"/>
  <c r="B37"/>
  <c r="E36"/>
  <c r="T29" i="4"/>
  <c r="U30" s="1"/>
  <c r="S30"/>
  <c r="R29"/>
  <c r="U29" s="1"/>
  <c r="W29" s="1"/>
  <c r="F33"/>
  <c r="E33"/>
  <c r="B34"/>
  <c r="J31"/>
  <c r="O31" s="1"/>
  <c r="I31"/>
  <c r="G32"/>
  <c r="H32" s="1"/>
  <c r="I35" i="3" l="1"/>
  <c r="G36"/>
  <c r="H36" s="1"/>
  <c r="J36"/>
  <c r="J35"/>
  <c r="B38"/>
  <c r="E37"/>
  <c r="F37"/>
  <c r="T30" i="4"/>
  <c r="W30"/>
  <c r="P31"/>
  <c r="Q31" s="1"/>
  <c r="S31" s="1"/>
  <c r="J32"/>
  <c r="O32" s="1"/>
  <c r="I32"/>
  <c r="G33"/>
  <c r="H33" s="1"/>
  <c r="B35"/>
  <c r="F34"/>
  <c r="E34"/>
  <c r="I36" i="3" l="1"/>
  <c r="F38"/>
  <c r="E38"/>
  <c r="B39"/>
  <c r="G37"/>
  <c r="H37" s="1"/>
  <c r="T31" i="4"/>
  <c r="P32"/>
  <c r="Q32" s="1"/>
  <c r="S32" s="1"/>
  <c r="R31"/>
  <c r="U31" s="1"/>
  <c r="W31" s="1"/>
  <c r="J33"/>
  <c r="O33" s="1"/>
  <c r="I33"/>
  <c r="G34"/>
  <c r="H34" s="1"/>
  <c r="B36"/>
  <c r="F35"/>
  <c r="E35"/>
  <c r="J37" i="3" l="1"/>
  <c r="F39"/>
  <c r="B40"/>
  <c r="E39"/>
  <c r="G38"/>
  <c r="H38" s="1"/>
  <c r="I37"/>
  <c r="T32" i="4"/>
  <c r="R32"/>
  <c r="U32" s="1"/>
  <c r="W32" s="1"/>
  <c r="P33"/>
  <c r="Q33" s="1"/>
  <c r="S33" s="1"/>
  <c r="J34"/>
  <c r="O34" s="1"/>
  <c r="G35"/>
  <c r="H35" s="1"/>
  <c r="I35" s="1"/>
  <c r="E36"/>
  <c r="B37"/>
  <c r="F36"/>
  <c r="I34"/>
  <c r="G39" i="3" l="1"/>
  <c r="H39" s="1"/>
  <c r="I39"/>
  <c r="F40"/>
  <c r="B41"/>
  <c r="E40"/>
  <c r="J38"/>
  <c r="I38"/>
  <c r="T33" i="4"/>
  <c r="R33"/>
  <c r="U33" s="1"/>
  <c r="W33" s="1"/>
  <c r="P34"/>
  <c r="Q34" s="1"/>
  <c r="S34" s="1"/>
  <c r="J35"/>
  <c r="O35" s="1"/>
  <c r="F37"/>
  <c r="E37"/>
  <c r="B38"/>
  <c r="G36"/>
  <c r="H36" s="1"/>
  <c r="J39" i="3" l="1"/>
  <c r="G40"/>
  <c r="H40" s="1"/>
  <c r="J40" s="1"/>
  <c r="B42"/>
  <c r="E41"/>
  <c r="F41"/>
  <c r="T34" i="4"/>
  <c r="R34"/>
  <c r="U34" s="1"/>
  <c r="W34" s="1"/>
  <c r="P35"/>
  <c r="Q35" s="1"/>
  <c r="S35" s="1"/>
  <c r="B39"/>
  <c r="F38"/>
  <c r="E38"/>
  <c r="G37"/>
  <c r="H37" s="1"/>
  <c r="I36"/>
  <c r="J36"/>
  <c r="O36" s="1"/>
  <c r="F42" i="3" l="1"/>
  <c r="B43"/>
  <c r="E42"/>
  <c r="I40"/>
  <c r="G41"/>
  <c r="H41" s="1"/>
  <c r="J41"/>
  <c r="T35" i="4"/>
  <c r="R35"/>
  <c r="U35" s="1"/>
  <c r="W35" s="1"/>
  <c r="J37"/>
  <c r="O37" s="1"/>
  <c r="P36"/>
  <c r="Q36" s="1"/>
  <c r="R36" s="1"/>
  <c r="G38"/>
  <c r="H38" s="1"/>
  <c r="I37"/>
  <c r="B40"/>
  <c r="E39"/>
  <c r="F39"/>
  <c r="U36" l="1"/>
  <c r="W36" s="1"/>
  <c r="I41" i="3"/>
  <c r="G42"/>
  <c r="H42" s="1"/>
  <c r="F43"/>
  <c r="B44"/>
  <c r="E43"/>
  <c r="T36" i="4"/>
  <c r="S36"/>
  <c r="J38"/>
  <c r="O38" s="1"/>
  <c r="P37"/>
  <c r="Q37" s="1"/>
  <c r="R37" s="1"/>
  <c r="I38"/>
  <c r="G39"/>
  <c r="H39" s="1"/>
  <c r="E40"/>
  <c r="F40"/>
  <c r="B41"/>
  <c r="U37" l="1"/>
  <c r="W37" s="1"/>
  <c r="G43" i="3"/>
  <c r="H43" s="1"/>
  <c r="I43"/>
  <c r="J42"/>
  <c r="F44"/>
  <c r="B45"/>
  <c r="E44"/>
  <c r="J43"/>
  <c r="I42"/>
  <c r="T37" i="4"/>
  <c r="S37"/>
  <c r="I39"/>
  <c r="P38"/>
  <c r="Q38" s="1"/>
  <c r="S38" s="1"/>
  <c r="G40"/>
  <c r="H40" s="1"/>
  <c r="F41"/>
  <c r="E41"/>
  <c r="B42"/>
  <c r="J39"/>
  <c r="O39" s="1"/>
  <c r="E45" i="3" l="1"/>
  <c r="F45"/>
  <c r="G44"/>
  <c r="H44" s="1"/>
  <c r="T38" i="4"/>
  <c r="P39"/>
  <c r="Q39" s="1"/>
  <c r="S39" s="1"/>
  <c r="R38"/>
  <c r="U38" s="1"/>
  <c r="W38" s="1"/>
  <c r="J40"/>
  <c r="O40" s="1"/>
  <c r="G41"/>
  <c r="H41" s="1"/>
  <c r="B43"/>
  <c r="F42"/>
  <c r="E42"/>
  <c r="I40"/>
  <c r="I44" i="3" l="1"/>
  <c r="J44"/>
  <c r="J45"/>
  <c r="I45"/>
  <c r="G45"/>
  <c r="H45" s="1"/>
  <c r="T39" i="4"/>
  <c r="R39"/>
  <c r="U39" s="1"/>
  <c r="W39" s="1"/>
  <c r="P40"/>
  <c r="Q40" s="1"/>
  <c r="R40" s="1"/>
  <c r="B44"/>
  <c r="E43"/>
  <c r="F43"/>
  <c r="G42"/>
  <c r="H42" s="1"/>
  <c r="I41"/>
  <c r="J41"/>
  <c r="O41" s="1"/>
  <c r="U40" l="1"/>
  <c r="W40" s="1"/>
  <c r="T40"/>
  <c r="S40"/>
  <c r="P41"/>
  <c r="Q41" s="1"/>
  <c r="S41" s="1"/>
  <c r="J42"/>
  <c r="O42" s="1"/>
  <c r="G43"/>
  <c r="H43" s="1"/>
  <c r="I42"/>
  <c r="E44"/>
  <c r="B45"/>
  <c r="F44"/>
  <c r="T41" l="1"/>
  <c r="I43"/>
  <c r="P42"/>
  <c r="Q42" s="1"/>
  <c r="S42" s="1"/>
  <c r="R41"/>
  <c r="U41" s="1"/>
  <c r="W41" s="1"/>
  <c r="F45"/>
  <c r="E45"/>
  <c r="G44"/>
  <c r="H44" s="1"/>
  <c r="J43"/>
  <c r="O43" s="1"/>
  <c r="T42" l="1"/>
  <c r="R42"/>
  <c r="U42" s="1"/>
  <c r="W42" s="1"/>
  <c r="P43"/>
  <c r="Q43" s="1"/>
  <c r="S43" s="1"/>
  <c r="I44"/>
  <c r="G45"/>
  <c r="H45" s="1"/>
  <c r="J45" s="1"/>
  <c r="O45" s="1"/>
  <c r="J44"/>
  <c r="O44" s="1"/>
  <c r="P45" l="1"/>
  <c r="Q45" s="1"/>
  <c r="R45" s="1"/>
  <c r="T43"/>
  <c r="P44"/>
  <c r="Q44" s="1"/>
  <c r="S44" s="1"/>
  <c r="R43"/>
  <c r="U43" s="1"/>
  <c r="W43" s="1"/>
  <c r="I45"/>
  <c r="S45" l="1"/>
  <c r="T44"/>
  <c r="R44"/>
  <c r="U44" s="1"/>
  <c r="W44" s="1"/>
  <c r="W46" s="1"/>
  <c r="B4" i="6" s="1"/>
  <c r="U45" i="4" l="1"/>
  <c r="T45"/>
  <c r="F10" i="2"/>
  <c r="H10" l="1"/>
  <c r="I11"/>
  <c r="F11"/>
  <c r="H11" l="1"/>
  <c r="I12"/>
  <c r="L10"/>
  <c r="F12"/>
  <c r="H12" l="1"/>
  <c r="I13"/>
  <c r="L11"/>
  <c r="F13"/>
  <c r="H13" l="1"/>
  <c r="I14"/>
  <c r="L12"/>
  <c r="F14"/>
  <c r="H14" l="1"/>
  <c r="I15"/>
  <c r="L13"/>
  <c r="F15"/>
  <c r="H15" l="1"/>
  <c r="I16"/>
  <c r="L14"/>
  <c r="F16"/>
  <c r="H16" l="1"/>
  <c r="I17"/>
  <c r="L15"/>
  <c r="F17"/>
  <c r="H17" l="1"/>
  <c r="L16"/>
  <c r="I18"/>
  <c r="F18"/>
  <c r="H18" l="1"/>
  <c r="I19"/>
  <c r="L17"/>
  <c r="F19"/>
  <c r="H19" l="1"/>
  <c r="L18"/>
  <c r="I20"/>
  <c r="F20"/>
  <c r="H20" l="1"/>
  <c r="I21"/>
  <c r="K21" s="1"/>
  <c r="L19"/>
  <c r="F21"/>
  <c r="H21" l="1"/>
  <c r="L20"/>
  <c r="I22"/>
  <c r="F22"/>
  <c r="H22" l="1"/>
  <c r="L21"/>
  <c r="I23"/>
  <c r="F23"/>
  <c r="H23" l="1"/>
  <c r="I24"/>
  <c r="L22"/>
  <c r="F24"/>
  <c r="H24" l="1"/>
  <c r="L23"/>
  <c r="I25"/>
  <c r="F25"/>
  <c r="H25" l="1"/>
  <c r="L24"/>
  <c r="I26"/>
  <c r="F26"/>
  <c r="H26" l="1"/>
  <c r="I27"/>
  <c r="L25"/>
  <c r="F27"/>
  <c r="H27" l="1"/>
  <c r="L26"/>
  <c r="I28"/>
  <c r="F28"/>
  <c r="H28" l="1"/>
  <c r="L27"/>
  <c r="I29"/>
  <c r="F29"/>
  <c r="H29" l="1"/>
  <c r="L28"/>
  <c r="I30"/>
  <c r="F30"/>
  <c r="H30" l="1"/>
  <c r="L29"/>
  <c r="I31"/>
  <c r="F31"/>
  <c r="H31" l="1"/>
  <c r="L30"/>
  <c r="I32"/>
  <c r="F32"/>
  <c r="H32" l="1"/>
  <c r="I33"/>
  <c r="L31"/>
  <c r="F33"/>
  <c r="H33" l="1"/>
  <c r="I34"/>
  <c r="L32"/>
  <c r="F34"/>
  <c r="H34" l="1"/>
  <c r="L34" s="1"/>
  <c r="L33"/>
  <c r="K6" l="1"/>
  <c r="K8" l="1"/>
  <c r="K7"/>
  <c r="K9" l="1"/>
  <c r="K10" l="1"/>
  <c r="K11" l="1"/>
  <c r="K12" l="1"/>
  <c r="K13" l="1"/>
  <c r="K14" l="1"/>
  <c r="K15" l="1"/>
  <c r="K16" l="1"/>
  <c r="K17" l="1"/>
  <c r="K18" l="1"/>
  <c r="K19" l="1"/>
  <c r="K20" l="1"/>
  <c r="K22" l="1"/>
  <c r="K23" l="1"/>
  <c r="K24" l="1"/>
  <c r="K25" l="1"/>
  <c r="K26" l="1"/>
  <c r="K27" l="1"/>
  <c r="K28" l="1"/>
  <c r="K29" l="1"/>
  <c r="K30" l="1"/>
  <c r="K31" l="1"/>
  <c r="K32" l="1"/>
  <c r="K33" l="1"/>
  <c r="K34" l="1"/>
  <c r="B1" i="6" l="1"/>
  <c r="B2" l="1"/>
</calcChain>
</file>

<file path=xl/comments1.xml><?xml version="1.0" encoding="utf-8"?>
<comments xmlns="http://schemas.openxmlformats.org/spreadsheetml/2006/main">
  <authors>
    <author>HM Cilliers</author>
  </authors>
  <commentList>
    <comment ref="H31" authorId="0">
      <text>
        <r>
          <rPr>
            <b/>
            <sz val="9"/>
            <color indexed="81"/>
            <rFont val="Tahoma"/>
            <family val="2"/>
          </rPr>
          <t>HM Cilliers:</t>
        </r>
        <r>
          <rPr>
            <sz val="9"/>
            <color indexed="81"/>
            <rFont val="Tahoma"/>
            <family val="2"/>
          </rPr>
          <t xml:space="preserve">
If this is added into the cost colum it will give same acc value as project A</t>
        </r>
      </text>
    </comment>
  </commentList>
</comments>
</file>

<file path=xl/sharedStrings.xml><?xml version="1.0" encoding="utf-8"?>
<sst xmlns="http://schemas.openxmlformats.org/spreadsheetml/2006/main" count="180" uniqueCount="104">
  <si>
    <r>
      <t xml:space="preserve">Age </t>
    </r>
    <r>
      <rPr>
        <i/>
        <sz val="10"/>
        <rFont val="Arial"/>
        <family val="2"/>
      </rPr>
      <t>x</t>
    </r>
  </si>
  <si>
    <r>
      <t>q</t>
    </r>
    <r>
      <rPr>
        <i/>
        <vertAlign val="subscript"/>
        <sz val="10"/>
        <rFont val="Arial"/>
        <family val="2"/>
      </rPr>
      <t>x</t>
    </r>
  </si>
  <si>
    <t>P(male alive)</t>
  </si>
  <si>
    <t>P(female alive)</t>
  </si>
  <si>
    <t>P (male dead)</t>
  </si>
  <si>
    <t>Discount factor</t>
  </si>
  <si>
    <t>EPV (Lump Sum)</t>
  </si>
  <si>
    <t>EPV Annuity</t>
  </si>
  <si>
    <t>Age x</t>
  </si>
  <si>
    <t>P(life dies in year)</t>
  </si>
  <si>
    <t>Comments</t>
  </si>
  <si>
    <t>…as allowance is made for employees who withdraw</t>
  </si>
  <si>
    <t>..and the number of employees assumed to be covered is reduced</t>
  </si>
  <si>
    <t>max</t>
  </si>
  <si>
    <t xml:space="preserve">P(male dies in year </t>
  </si>
  <si>
    <t>Males</t>
  </si>
  <si>
    <t>Females</t>
  </si>
  <si>
    <t>(a)</t>
  </si>
  <si>
    <t>(b)</t>
  </si>
  <si>
    <t>(c)</t>
  </si>
  <si>
    <t>Policy Year</t>
  </si>
  <si>
    <t>P(life alive at EOY)</t>
  </si>
  <si>
    <t>(iii) (c)</t>
  </si>
  <si>
    <t>(i) (a)</t>
  </si>
  <si>
    <t>(i) (b)</t>
  </si>
  <si>
    <t xml:space="preserve">Result using multiple decrements is much lower </t>
  </si>
  <si>
    <t>i</t>
  </si>
  <si>
    <t>s bar (0.5)</t>
  </si>
  <si>
    <t>Time</t>
  </si>
  <si>
    <t>Cost 1</t>
  </si>
  <si>
    <t>Incurred at time x during the half year</t>
  </si>
  <si>
    <t>Cost 2</t>
  </si>
  <si>
    <t>Incurred at time x during the Half year</t>
  </si>
  <si>
    <t>Accumulated Cost to End of the half year</t>
  </si>
  <si>
    <t xml:space="preserve">Rate of Income in  half of year </t>
  </si>
  <si>
    <t>Accumulated income  to end of half year</t>
  </si>
  <si>
    <t>Accumulated Value  in the half  year (all cashflows)</t>
  </si>
  <si>
    <t>Total Accumulated value to date</t>
  </si>
  <si>
    <t>Project A Accumulated value</t>
  </si>
  <si>
    <t>Interest rate i</t>
  </si>
  <si>
    <t>s bar (1)</t>
  </si>
  <si>
    <t>Year</t>
  </si>
  <si>
    <t xml:space="preserve">Cost </t>
  </si>
  <si>
    <t>Accumulated Cost to End of Year</t>
  </si>
  <si>
    <t xml:space="preserve">Rate of Income in  year </t>
  </si>
  <si>
    <t>Accumulated income to end of year(EOY)</t>
  </si>
  <si>
    <t>Accumulated Value  of all cashflow in year ot EOY</t>
  </si>
  <si>
    <t>Accumulated value of all cashflow to date</t>
  </si>
  <si>
    <t xml:space="preserve">If make cost = 0, acc cash flow= </t>
  </si>
  <si>
    <t>FV of cost for project B=</t>
  </si>
  <si>
    <t>PV of cost for project B =</t>
  </si>
  <si>
    <t>Loan</t>
  </si>
  <si>
    <t xml:space="preserve">Money invested at </t>
  </si>
  <si>
    <t>Interest</t>
  </si>
  <si>
    <t>for</t>
  </si>
  <si>
    <t>years</t>
  </si>
  <si>
    <t>annuity</t>
  </si>
  <si>
    <t>Repayment</t>
  </si>
  <si>
    <t>s(bar)1@12%</t>
  </si>
  <si>
    <t>Income from Project B</t>
  </si>
  <si>
    <t>Income Accumulated  to EOY</t>
  </si>
  <si>
    <t>Loan outstanding at start of year</t>
  </si>
  <si>
    <t>Interest due</t>
  </si>
  <si>
    <t>Interest paid</t>
  </si>
  <si>
    <t>Capital repaid</t>
  </si>
  <si>
    <t>Loan outstanding at end of year</t>
  </si>
  <si>
    <t>so loan repaid in</t>
  </si>
  <si>
    <t>(i)</t>
  </si>
  <si>
    <t>(ii)</t>
  </si>
  <si>
    <t>(iii)</t>
  </si>
  <si>
    <t>(iv)</t>
  </si>
  <si>
    <t>The independent mortality rates used in (iii)(c) are the same as those used in (i)(a), so this will not cause</t>
  </si>
  <si>
    <t>any difference between the two values.</t>
  </si>
  <si>
    <t>Female annuity</t>
  </si>
  <si>
    <t>s(bar)1@14%</t>
  </si>
  <si>
    <t xml:space="preserve">If row 34 is blank, implying annuity payment </t>
  </si>
  <si>
    <t>stops at female age 59, then no penalty.</t>
  </si>
  <si>
    <t>In which case the solution to (b) is: -</t>
  </si>
  <si>
    <t>If the female annuity stops at age 59,</t>
  </si>
  <si>
    <t>then no penalty.</t>
  </si>
  <si>
    <t>Female annuity stop at age</t>
  </si>
  <si>
    <t>t</t>
  </si>
  <si>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 xml:space="preserve">35 </t>
    </r>
    <r>
      <rPr>
        <sz val="10"/>
        <rFont val="Arial"/>
        <family val="2"/>
      </rPr>
      <t>Male</t>
    </r>
  </si>
  <si>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30</t>
    </r>
    <r>
      <rPr>
        <sz val="10"/>
        <rFont val="Arial"/>
        <family val="2"/>
      </rPr>
      <t xml:space="preserve"> Female</t>
    </r>
  </si>
  <si>
    <r>
      <t xml:space="preserve">(1 - 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35</t>
    </r>
    <r>
      <rPr>
        <sz val="10"/>
        <rFont val="Arial"/>
        <family val="2"/>
      </rPr>
      <t>)</t>
    </r>
  </si>
  <si>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p</t>
    </r>
    <r>
      <rPr>
        <vertAlign val="subscript"/>
        <sz val="10"/>
        <rFont val="Arial"/>
        <family val="2"/>
      </rPr>
      <t>35</t>
    </r>
    <r>
      <rPr>
        <sz val="10"/>
        <rFont val="Arial"/>
        <family val="2"/>
      </rPr>
      <t xml:space="preserve"> q</t>
    </r>
    <r>
      <rPr>
        <vertAlign val="subscript"/>
        <sz val="10"/>
        <rFont val="Arial"/>
        <family val="2"/>
      </rPr>
      <t>35+t</t>
    </r>
  </si>
  <si>
    <r>
      <t xml:space="preserve">Σ     </t>
    </r>
    <r>
      <rPr>
        <vertAlign val="subscript"/>
        <sz val="11"/>
        <rFont val="Calibri"/>
        <family val="2"/>
      </rPr>
      <t>t-1</t>
    </r>
    <r>
      <rPr>
        <sz val="11"/>
        <rFont val="Calibri"/>
        <family val="2"/>
      </rPr>
      <t>p</t>
    </r>
    <r>
      <rPr>
        <vertAlign val="subscript"/>
        <sz val="11"/>
        <rFont val="Calibri"/>
        <family val="2"/>
      </rPr>
      <t>35</t>
    </r>
    <r>
      <rPr>
        <sz val="11"/>
        <rFont val="Calibri"/>
        <family val="2"/>
      </rPr>
      <t xml:space="preserve"> q</t>
    </r>
    <r>
      <rPr>
        <vertAlign val="subscript"/>
        <sz val="11"/>
        <rFont val="Calibri"/>
        <family val="2"/>
      </rPr>
      <t>35+t</t>
    </r>
    <r>
      <rPr>
        <sz val="11"/>
        <rFont val="Calibri"/>
        <family val="2"/>
      </rPr>
      <t xml:space="preserve"> v</t>
    </r>
    <r>
      <rPr>
        <vertAlign val="superscript"/>
        <sz val="11"/>
        <rFont val="Calibri"/>
        <family val="2"/>
      </rPr>
      <t>t</t>
    </r>
    <r>
      <rPr>
        <sz val="11"/>
        <rFont val="Calibri"/>
        <family val="2"/>
      </rPr>
      <t xml:space="preserve">   </t>
    </r>
  </si>
  <si>
    <r>
      <t>l</t>
    </r>
    <r>
      <rPr>
        <vertAlign val="subscript"/>
        <sz val="10"/>
        <rFont val="Arial"/>
        <family val="2"/>
      </rPr>
      <t>x</t>
    </r>
  </si>
  <si>
    <r>
      <t>d</t>
    </r>
    <r>
      <rPr>
        <vertAlign val="subscript"/>
        <sz val="10"/>
        <rFont val="Arial"/>
        <family val="2"/>
      </rPr>
      <t>x</t>
    </r>
  </si>
  <si>
    <r>
      <t>w</t>
    </r>
    <r>
      <rPr>
        <vertAlign val="subscript"/>
        <sz val="10"/>
        <rFont val="Arial"/>
        <family val="2"/>
      </rPr>
      <t>x</t>
    </r>
  </si>
  <si>
    <r>
      <t>(aq)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d</t>
    </r>
  </si>
  <si>
    <r>
      <t>(aq)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w</t>
    </r>
  </si>
  <si>
    <r>
      <t>(aq)</t>
    </r>
    <r>
      <rPr>
        <vertAlign val="subscript"/>
        <sz val="10"/>
        <rFont val="Arial"/>
        <family val="2"/>
      </rPr>
      <t>x</t>
    </r>
  </si>
  <si>
    <r>
      <t>(ap)</t>
    </r>
    <r>
      <rPr>
        <vertAlign val="subscript"/>
        <sz val="10"/>
        <rFont val="Arial"/>
        <family val="2"/>
      </rPr>
      <t>x</t>
    </r>
  </si>
  <si>
    <r>
      <t>mu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d</t>
    </r>
  </si>
  <si>
    <r>
      <t>mu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w</t>
    </r>
  </si>
  <si>
    <r>
      <t>Revised q</t>
    </r>
    <r>
      <rPr>
        <vertAlign val="subscript"/>
        <sz val="10"/>
        <rFont val="Arial"/>
        <family val="2"/>
      </rPr>
      <t>x</t>
    </r>
  </si>
  <si>
    <r>
      <t>Revised mu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d</t>
    </r>
  </si>
  <si>
    <r>
      <t>Revised (ap)</t>
    </r>
    <r>
      <rPr>
        <vertAlign val="subscript"/>
        <sz val="10"/>
        <rFont val="Arial"/>
        <family val="2"/>
      </rPr>
      <t>x</t>
    </r>
  </si>
  <si>
    <r>
      <t>Revised (aq)</t>
    </r>
    <r>
      <rPr>
        <vertAlign val="subscript"/>
        <sz val="10"/>
        <rFont val="Arial"/>
        <family val="2"/>
      </rPr>
      <t>x</t>
    </r>
  </si>
  <si>
    <r>
      <t>Revised (aq)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d</t>
    </r>
  </si>
  <si>
    <r>
      <t>Revised (aq)</t>
    </r>
    <r>
      <rPr>
        <vertAlign val="subscript"/>
        <sz val="10"/>
        <rFont val="Arial"/>
        <family val="2"/>
      </rPr>
      <t>x</t>
    </r>
    <r>
      <rPr>
        <vertAlign val="superscript"/>
        <sz val="10"/>
        <rFont val="Arial"/>
        <family val="2"/>
      </rPr>
      <t>w</t>
    </r>
  </si>
  <si>
    <t>Outgo from B</t>
  </si>
  <si>
    <t>EOY balance</t>
  </si>
</sst>
</file>

<file path=xl/styles.xml><?xml version="1.0" encoding="utf-8"?>
<styleSheet xmlns="http://schemas.openxmlformats.org/spreadsheetml/2006/main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00"/>
    <numFmt numFmtId="165" formatCode="_-&quot;£&quot;* #,##0_-;\-&quot;£&quot;* #,##0_-;_-&quot;£&quot;* &quot;-&quot;??_-;_-@_-"/>
    <numFmt numFmtId="166" formatCode="0.00000"/>
    <numFmt numFmtId="167" formatCode="[$£-809]#,##0.00"/>
    <numFmt numFmtId="168" formatCode="#,##0.0000000_ ;\-#,##0.0000000\ "/>
    <numFmt numFmtId="169" formatCode="[$£-809]#,##0.00;[Red]\-[$£-809]#,##0.00"/>
  </numFmts>
  <fonts count="2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Arial"/>
      <family val="2"/>
    </font>
    <font>
      <vertAlign val="subscript"/>
      <sz val="10"/>
      <name val="Arial"/>
      <family val="2"/>
    </font>
    <font>
      <sz val="11"/>
      <name val="Calibri"/>
      <family val="2"/>
    </font>
    <font>
      <vertAlign val="subscript"/>
      <sz val="11"/>
      <name val="Calibri"/>
      <family val="2"/>
    </font>
    <font>
      <vertAlign val="superscript"/>
      <sz val="11"/>
      <name val="Calibri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2" applyFont="1"/>
    <xf numFmtId="0" fontId="1" fillId="0" borderId="0" xfId="2" applyFont="1" applyAlignment="1">
      <alignment horizontal="center"/>
    </xf>
    <xf numFmtId="164" fontId="1" fillId="0" borderId="0" xfId="2" applyNumberFormat="1" applyFont="1" applyAlignment="1">
      <alignment horizontal="center"/>
    </xf>
    <xf numFmtId="0" fontId="0" fillId="0" borderId="0" xfId="2" applyFont="1" applyAlignment="1">
      <alignment horizontal="center" wrapText="1"/>
    </xf>
    <xf numFmtId="0" fontId="0" fillId="0" borderId="0" xfId="0" applyFont="1" applyAlignment="1">
      <alignment wrapText="1"/>
    </xf>
    <xf numFmtId="164" fontId="1" fillId="0" borderId="0" xfId="2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3" fontId="0" fillId="0" borderId="0" xfId="0" applyNumberFormat="1"/>
    <xf numFmtId="9" fontId="1" fillId="0" borderId="0" xfId="0" applyNumberFormat="1" applyFont="1"/>
    <xf numFmtId="165" fontId="1" fillId="0" borderId="0" xfId="1" applyNumberFormat="1" applyFont="1"/>
    <xf numFmtId="44" fontId="1" fillId="0" borderId="0" xfId="0" applyNumberFormat="1" applyFont="1"/>
    <xf numFmtId="44" fontId="5" fillId="0" borderId="0" xfId="1" applyFont="1"/>
    <xf numFmtId="6" fontId="1" fillId="0" borderId="0" xfId="0" applyNumberFormat="1" applyFont="1"/>
    <xf numFmtId="8" fontId="1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3" fontId="0" fillId="0" borderId="0" xfId="0" applyNumberFormat="1" applyBorder="1"/>
    <xf numFmtId="3" fontId="0" fillId="0" borderId="5" xfId="0" applyNumberFormat="1" applyBorder="1"/>
    <xf numFmtId="0" fontId="1" fillId="0" borderId="6" xfId="0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0" fontId="0" fillId="0" borderId="1" xfId="0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64" fontId="1" fillId="0" borderId="0" xfId="2" applyNumberFormat="1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horizontal="right"/>
    </xf>
    <xf numFmtId="44" fontId="0" fillId="0" borderId="0" xfId="0" applyNumberFormat="1"/>
    <xf numFmtId="44" fontId="5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Font="1"/>
    <xf numFmtId="44" fontId="0" fillId="0" borderId="0" xfId="0" applyNumberFormat="1" applyFont="1"/>
    <xf numFmtId="166" fontId="0" fillId="0" borderId="4" xfId="0" applyNumberFormat="1" applyBorder="1"/>
    <xf numFmtId="166" fontId="0" fillId="0" borderId="0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9" fontId="0" fillId="0" borderId="0" xfId="0" applyNumberFormat="1"/>
    <xf numFmtId="10" fontId="0" fillId="0" borderId="0" xfId="4" applyNumberFormat="1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/>
    <xf numFmtId="44" fontId="0" fillId="0" borderId="0" xfId="1" applyFont="1" applyBorder="1"/>
    <xf numFmtId="44" fontId="0" fillId="0" borderId="5" xfId="1" applyFont="1" applyBorder="1"/>
    <xf numFmtId="0" fontId="10" fillId="0" borderId="5" xfId="0" applyFont="1" applyBorder="1" applyAlignment="1">
      <alignment horizontal="right"/>
    </xf>
    <xf numFmtId="0" fontId="0" fillId="0" borderId="14" xfId="0" applyBorder="1"/>
    <xf numFmtId="0" fontId="0" fillId="0" borderId="7" xfId="0" applyBorder="1"/>
    <xf numFmtId="0" fontId="0" fillId="0" borderId="8" xfId="0" applyBorder="1"/>
    <xf numFmtId="44" fontId="0" fillId="0" borderId="7" xfId="1" applyFont="1" applyBorder="1"/>
    <xf numFmtId="44" fontId="0" fillId="0" borderId="8" xfId="1" applyFont="1" applyBorder="1"/>
    <xf numFmtId="43" fontId="0" fillId="0" borderId="0" xfId="3" applyFont="1"/>
    <xf numFmtId="9" fontId="0" fillId="0" borderId="0" xfId="3" applyNumberFormat="1" applyFont="1"/>
    <xf numFmtId="44" fontId="0" fillId="0" borderId="0" xfId="1" applyFont="1"/>
    <xf numFmtId="168" fontId="0" fillId="0" borderId="0" xfId="1" applyNumberFormat="1" applyFont="1"/>
    <xf numFmtId="0" fontId="0" fillId="0" borderId="15" xfId="0" applyBorder="1" applyAlignment="1">
      <alignment wrapText="1"/>
    </xf>
    <xf numFmtId="169" fontId="0" fillId="0" borderId="1" xfId="0" applyNumberFormat="1" applyBorder="1"/>
    <xf numFmtId="44" fontId="0" fillId="0" borderId="5" xfId="0" applyNumberFormat="1" applyBorder="1"/>
    <xf numFmtId="169" fontId="0" fillId="0" borderId="4" xfId="0" applyNumberFormat="1" applyBorder="1"/>
    <xf numFmtId="0" fontId="9" fillId="0" borderId="0" xfId="3" applyNumberFormat="1" applyFont="1"/>
    <xf numFmtId="169" fontId="0" fillId="0" borderId="6" xfId="0" applyNumberFormat="1" applyBorder="1"/>
    <xf numFmtId="44" fontId="0" fillId="0" borderId="8" xfId="0" applyNumberFormat="1" applyBorder="1"/>
    <xf numFmtId="0" fontId="13" fillId="0" borderId="0" xfId="0" applyFont="1"/>
    <xf numFmtId="167" fontId="0" fillId="0" borderId="0" xfId="0" applyNumberFormat="1" applyFont="1"/>
    <xf numFmtId="0" fontId="14" fillId="0" borderId="0" xfId="0" applyFont="1"/>
    <xf numFmtId="0" fontId="0" fillId="0" borderId="0" xfId="0" applyFont="1" applyAlignment="1">
      <alignment horizontal="center" wrapText="1"/>
    </xf>
    <xf numFmtId="0" fontId="7" fillId="0" borderId="0" xfId="0" applyFont="1" applyFill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8" fontId="5" fillId="0" borderId="0" xfId="1" applyNumberFormat="1" applyFont="1"/>
    <xf numFmtId="165" fontId="0" fillId="0" borderId="4" xfId="1" applyNumberFormat="1" applyFont="1" applyBorder="1"/>
    <xf numFmtId="165" fontId="0" fillId="0" borderId="6" xfId="1" applyNumberFormat="1" applyFont="1" applyBorder="1"/>
    <xf numFmtId="0" fontId="10" fillId="0" borderId="0" xfId="0" applyFont="1" applyFill="1" applyAlignment="1">
      <alignment horizontal="right"/>
    </xf>
    <xf numFmtId="0" fontId="0" fillId="0" borderId="0" xfId="0" applyFill="1"/>
    <xf numFmtId="44" fontId="0" fillId="0" borderId="0" xfId="0" applyNumberFormat="1" applyFill="1"/>
    <xf numFmtId="167" fontId="0" fillId="0" borderId="0" xfId="0" applyNumberFormat="1" applyFill="1"/>
    <xf numFmtId="0" fontId="0" fillId="0" borderId="1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/>
    <xf numFmtId="44" fontId="0" fillId="0" borderId="3" xfId="1" applyFont="1" applyFill="1" applyBorder="1"/>
    <xf numFmtId="44" fontId="0" fillId="0" borderId="4" xfId="1" applyFont="1" applyFill="1" applyBorder="1"/>
    <xf numFmtId="44" fontId="0" fillId="0" borderId="0" xfId="1" applyFont="1" applyFill="1" applyBorder="1"/>
    <xf numFmtId="44" fontId="0" fillId="0" borderId="0" xfId="0" applyNumberFormat="1" applyFill="1" applyBorder="1"/>
    <xf numFmtId="44" fontId="0" fillId="0" borderId="5" xfId="1" applyFont="1" applyFill="1" applyBorder="1"/>
    <xf numFmtId="44" fontId="0" fillId="0" borderId="8" xfId="1" applyFont="1" applyFill="1" applyBorder="1"/>
    <xf numFmtId="44" fontId="0" fillId="0" borderId="6" xfId="1" applyFont="1" applyFill="1" applyBorder="1"/>
    <xf numFmtId="44" fontId="0" fillId="0" borderId="7" xfId="1" applyFont="1" applyFill="1" applyBorder="1"/>
    <xf numFmtId="8" fontId="5" fillId="0" borderId="0" xfId="0" applyNumberFormat="1" applyFont="1"/>
    <xf numFmtId="0" fontId="0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/>
    <xf numFmtId="0" fontId="0" fillId="0" borderId="0" xfId="0" applyFill="1" applyAlignment="1">
      <alignment horizontal="center"/>
    </xf>
    <xf numFmtId="0" fontId="0" fillId="0" borderId="17" xfId="0" applyBorder="1"/>
    <xf numFmtId="0" fontId="0" fillId="0" borderId="0" xfId="0" applyFill="1" applyAlignment="1">
      <alignment wrapText="1"/>
    </xf>
    <xf numFmtId="43" fontId="0" fillId="0" borderId="0" xfId="3" applyFont="1" applyFill="1"/>
    <xf numFmtId="9" fontId="0" fillId="0" borderId="0" xfId="0" applyNumberFormat="1" applyFill="1"/>
    <xf numFmtId="9" fontId="0" fillId="0" borderId="0" xfId="3" applyNumberFormat="1" applyFont="1" applyFill="1"/>
    <xf numFmtId="44" fontId="0" fillId="0" borderId="0" xfId="1" applyFont="1" applyFill="1"/>
    <xf numFmtId="168" fontId="0" fillId="0" borderId="0" xfId="1" applyNumberFormat="1" applyFont="1" applyFill="1"/>
    <xf numFmtId="0" fontId="0" fillId="0" borderId="12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3" xfId="0" applyFill="1" applyBorder="1"/>
    <xf numFmtId="43" fontId="0" fillId="0" borderId="4" xfId="0" applyNumberFormat="1" applyFill="1" applyBorder="1"/>
    <xf numFmtId="0" fontId="0" fillId="0" borderId="4" xfId="0" applyFill="1" applyBorder="1"/>
    <xf numFmtId="169" fontId="0" fillId="0" borderId="1" xfId="0" applyNumberFormat="1" applyFill="1" applyBorder="1"/>
    <xf numFmtId="44" fontId="0" fillId="0" borderId="5" xfId="0" applyNumberFormat="1" applyFill="1" applyBorder="1"/>
    <xf numFmtId="169" fontId="0" fillId="0" borderId="4" xfId="0" applyNumberFormat="1" applyFill="1" applyBorder="1"/>
    <xf numFmtId="0" fontId="9" fillId="0" borderId="0" xfId="3" applyNumberFormat="1" applyFont="1" applyFill="1"/>
    <xf numFmtId="0" fontId="0" fillId="0" borderId="14" xfId="0" applyFill="1" applyBorder="1"/>
    <xf numFmtId="0" fontId="0" fillId="0" borderId="6" xfId="0" applyFill="1" applyBorder="1"/>
    <xf numFmtId="169" fontId="0" fillId="0" borderId="6" xfId="0" applyNumberFormat="1" applyFill="1" applyBorder="1"/>
    <xf numFmtId="44" fontId="0" fillId="0" borderId="8" xfId="0" applyNumberFormat="1" applyFill="1" applyBorder="1"/>
    <xf numFmtId="43" fontId="0" fillId="0" borderId="4" xfId="3" applyFont="1" applyFill="1" applyBorder="1"/>
    <xf numFmtId="0" fontId="0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6"/>
  <sheetViews>
    <sheetView tabSelected="1" zoomScale="80" workbookViewId="0">
      <selection sqref="A1:B1"/>
    </sheetView>
  </sheetViews>
  <sheetFormatPr defaultRowHeight="12.75"/>
  <cols>
    <col min="1" max="1" width="6.7109375" style="2" bestFit="1" customWidth="1"/>
    <col min="2" max="2" width="9.28515625" style="2" bestFit="1" customWidth="1"/>
    <col min="3" max="3" width="6.7109375" style="2" bestFit="1" customWidth="1"/>
    <col min="4" max="4" width="9.28515625" style="2" bestFit="1" customWidth="1"/>
    <col min="5" max="16384" width="9.140625" style="2"/>
  </cols>
  <sheetData>
    <row r="1" spans="1:5" ht="47.25" customHeight="1">
      <c r="A1" s="136" t="s">
        <v>15</v>
      </c>
      <c r="B1" s="136"/>
      <c r="C1" s="136" t="s">
        <v>16</v>
      </c>
      <c r="D1" s="136"/>
      <c r="E1" s="7"/>
    </row>
    <row r="2" spans="1:5">
      <c r="E2" s="6"/>
    </row>
    <row r="3" spans="1:5" ht="15.75">
      <c r="A3" s="1" t="s">
        <v>0</v>
      </c>
      <c r="B3" s="3" t="s">
        <v>1</v>
      </c>
      <c r="C3" s="1" t="s">
        <v>0</v>
      </c>
      <c r="D3" s="3" t="s">
        <v>1</v>
      </c>
      <c r="E3" s="7"/>
    </row>
    <row r="4" spans="1:5">
      <c r="E4" s="6"/>
    </row>
    <row r="5" spans="1:5">
      <c r="A5" s="1">
        <v>16</v>
      </c>
      <c r="B5" s="4">
        <v>3.7500000000000001E-4</v>
      </c>
      <c r="C5" s="1">
        <v>16</v>
      </c>
      <c r="D5" s="4">
        <v>2.0000000000000001E-4</v>
      </c>
      <c r="E5" s="6"/>
    </row>
    <row r="6" spans="1:5">
      <c r="A6" s="1">
        <v>17</v>
      </c>
      <c r="B6" s="4">
        <v>4.08E-4</v>
      </c>
      <c r="C6" s="1">
        <v>17</v>
      </c>
      <c r="D6" s="4">
        <v>2.5500000000000002E-4</v>
      </c>
      <c r="E6" s="6"/>
    </row>
    <row r="7" spans="1:5">
      <c r="A7" s="1">
        <v>18</v>
      </c>
      <c r="B7" s="4">
        <v>4.44E-4</v>
      </c>
      <c r="C7" s="1">
        <v>18</v>
      </c>
      <c r="D7" s="4">
        <v>3.1300000000000002E-4</v>
      </c>
      <c r="E7" s="6"/>
    </row>
    <row r="8" spans="1:5">
      <c r="A8" s="1">
        <v>19</v>
      </c>
      <c r="B8" s="4">
        <v>4.8500000000000003E-4</v>
      </c>
      <c r="C8" s="1">
        <v>19</v>
      </c>
      <c r="D8" s="4">
        <v>3.7399999999999998E-4</v>
      </c>
      <c r="E8" s="6"/>
    </row>
    <row r="9" spans="1:5">
      <c r="A9" s="1">
        <v>20</v>
      </c>
      <c r="B9" s="4">
        <v>5.31E-4</v>
      </c>
      <c r="C9" s="1">
        <v>20</v>
      </c>
      <c r="D9" s="4">
        <v>4.3800000000000002E-4</v>
      </c>
      <c r="E9" s="6"/>
    </row>
    <row r="10" spans="1:5">
      <c r="A10" s="1">
        <v>21</v>
      </c>
      <c r="B10" s="4">
        <v>5.8100000000000003E-4</v>
      </c>
      <c r="C10" s="1">
        <v>21</v>
      </c>
      <c r="D10" s="4">
        <v>5.0500000000000002E-4</v>
      </c>
      <c r="E10" s="6"/>
    </row>
    <row r="11" spans="1:5">
      <c r="A11" s="1">
        <v>22</v>
      </c>
      <c r="B11" s="4">
        <v>6.38E-4</v>
      </c>
      <c r="C11" s="1">
        <v>22</v>
      </c>
      <c r="D11" s="4">
        <v>5.7600000000000001E-4</v>
      </c>
      <c r="E11" s="6"/>
    </row>
    <row r="12" spans="1:5">
      <c r="A12" s="1">
        <v>23</v>
      </c>
      <c r="B12" s="4">
        <v>6.9999999999999999E-4</v>
      </c>
      <c r="C12" s="1">
        <v>23</v>
      </c>
      <c r="D12" s="4">
        <v>6.4899999999999995E-4</v>
      </c>
      <c r="E12" s="6"/>
    </row>
    <row r="13" spans="1:5">
      <c r="A13" s="1">
        <v>24</v>
      </c>
      <c r="B13" s="4">
        <v>7.6800000000000002E-4</v>
      </c>
      <c r="C13" s="1">
        <v>24</v>
      </c>
      <c r="D13" s="4">
        <v>7.2599999999999997E-4</v>
      </c>
      <c r="E13" s="6"/>
    </row>
    <row r="14" spans="1:5">
      <c r="A14" s="1">
        <v>25</v>
      </c>
      <c r="B14" s="4">
        <v>8.4400000000000002E-4</v>
      </c>
      <c r="C14" s="1">
        <v>25</v>
      </c>
      <c r="D14" s="4">
        <v>8.0599999999999997E-4</v>
      </c>
      <c r="E14" s="6"/>
    </row>
    <row r="15" spans="1:5">
      <c r="A15" s="1">
        <v>26</v>
      </c>
      <c r="B15" s="4">
        <v>9.2599999999999996E-4</v>
      </c>
      <c r="C15" s="1">
        <v>26</v>
      </c>
      <c r="D15" s="4">
        <v>8.8900000000000003E-4</v>
      </c>
      <c r="E15" s="8"/>
    </row>
    <row r="16" spans="1:5">
      <c r="A16" s="1">
        <v>27</v>
      </c>
      <c r="B16" s="4">
        <v>1.016E-3</v>
      </c>
      <c r="C16" s="1">
        <v>27</v>
      </c>
      <c r="D16" s="4">
        <v>9.7599999999999998E-4</v>
      </c>
      <c r="E16" s="8"/>
    </row>
    <row r="17" spans="1:5">
      <c r="A17" s="1">
        <v>28</v>
      </c>
      <c r="B17" s="4">
        <v>1.114E-3</v>
      </c>
      <c r="C17" s="1">
        <v>28</v>
      </c>
      <c r="D17" s="4">
        <v>1.065E-3</v>
      </c>
      <c r="E17" s="8"/>
    </row>
    <row r="18" spans="1:5">
      <c r="A18" s="1">
        <v>29</v>
      </c>
      <c r="B18" s="4">
        <v>1.2210000000000001E-3</v>
      </c>
      <c r="C18" s="1">
        <v>29</v>
      </c>
      <c r="D18" s="4">
        <v>1.158E-3</v>
      </c>
      <c r="E18" s="8"/>
    </row>
    <row r="19" spans="1:5">
      <c r="A19" s="1">
        <v>30</v>
      </c>
      <c r="B19" s="4">
        <v>1.3359999999999999E-3</v>
      </c>
      <c r="C19" s="1">
        <v>30</v>
      </c>
      <c r="D19" s="4">
        <v>1.253E-3</v>
      </c>
      <c r="E19" s="8"/>
    </row>
    <row r="20" spans="1:5">
      <c r="A20" s="1">
        <v>31</v>
      </c>
      <c r="B20" s="4">
        <v>1.4610000000000001E-3</v>
      </c>
      <c r="C20" s="1">
        <v>31</v>
      </c>
      <c r="D20" s="4">
        <v>1.351E-3</v>
      </c>
      <c r="E20" s="8"/>
    </row>
    <row r="21" spans="1:5">
      <c r="A21" s="1">
        <v>32</v>
      </c>
      <c r="B21" s="4">
        <v>1.5950000000000001E-3</v>
      </c>
      <c r="C21" s="1">
        <v>32</v>
      </c>
      <c r="D21" s="4">
        <v>1.451E-3</v>
      </c>
      <c r="E21" s="8"/>
    </row>
    <row r="22" spans="1:5">
      <c r="A22" s="1">
        <v>33</v>
      </c>
      <c r="B22" s="4">
        <v>1.738E-3</v>
      </c>
      <c r="C22" s="1">
        <v>33</v>
      </c>
      <c r="D22" s="4">
        <v>1.554E-3</v>
      </c>
      <c r="E22" s="8"/>
    </row>
    <row r="23" spans="1:5">
      <c r="A23" s="1">
        <v>34</v>
      </c>
      <c r="B23" s="4">
        <v>1.892E-3</v>
      </c>
      <c r="C23" s="1">
        <v>34</v>
      </c>
      <c r="D23" s="4">
        <v>1.6590000000000001E-3</v>
      </c>
      <c r="E23" s="8"/>
    </row>
    <row r="24" spans="1:5">
      <c r="A24" s="1">
        <v>35</v>
      </c>
      <c r="B24" s="4">
        <v>2.055E-3</v>
      </c>
      <c r="C24" s="1">
        <v>35</v>
      </c>
      <c r="D24" s="4">
        <v>1.766E-3</v>
      </c>
      <c r="E24" s="8"/>
    </row>
    <row r="25" spans="1:5">
      <c r="A25" s="1">
        <v>36</v>
      </c>
      <c r="B25" s="4">
        <v>2.2279999999999999E-3</v>
      </c>
      <c r="C25" s="1">
        <v>36</v>
      </c>
      <c r="D25" s="4">
        <v>1.874E-3</v>
      </c>
      <c r="E25" s="8"/>
    </row>
    <row r="26" spans="1:5">
      <c r="A26" s="1">
        <v>37</v>
      </c>
      <c r="B26" s="4">
        <v>2.4120000000000001E-3</v>
      </c>
      <c r="C26" s="1">
        <v>37</v>
      </c>
      <c r="D26" s="4">
        <v>1.9840000000000001E-3</v>
      </c>
      <c r="E26" s="8"/>
    </row>
    <row r="27" spans="1:5">
      <c r="A27" s="1">
        <v>38</v>
      </c>
      <c r="B27" s="4">
        <v>2.6050000000000001E-3</v>
      </c>
      <c r="C27" s="1">
        <v>38</v>
      </c>
      <c r="D27" s="4">
        <v>2.0960000000000002E-3</v>
      </c>
      <c r="E27" s="8"/>
    </row>
    <row r="28" spans="1:5">
      <c r="A28" s="1">
        <v>39</v>
      </c>
      <c r="B28" s="4">
        <v>2.8080000000000002E-3</v>
      </c>
      <c r="C28" s="1">
        <v>39</v>
      </c>
      <c r="D28" s="4">
        <v>2.2079999999999999E-3</v>
      </c>
      <c r="E28" s="8"/>
    </row>
    <row r="29" spans="1:5">
      <c r="A29" s="1">
        <v>40</v>
      </c>
      <c r="B29" s="4">
        <v>3.0200000000000001E-3</v>
      </c>
      <c r="C29" s="1">
        <v>40</v>
      </c>
      <c r="D29" s="4">
        <v>2.3210000000000001E-3</v>
      </c>
      <c r="E29" s="8"/>
    </row>
    <row r="30" spans="1:5">
      <c r="A30" s="1">
        <v>41</v>
      </c>
      <c r="B30" s="4">
        <v>3.2420000000000001E-3</v>
      </c>
      <c r="C30" s="1">
        <v>41</v>
      </c>
      <c r="D30" s="4">
        <v>2.4350000000000001E-3</v>
      </c>
      <c r="E30" s="8"/>
    </row>
    <row r="31" spans="1:5">
      <c r="A31" s="1">
        <v>42</v>
      </c>
      <c r="B31" s="4">
        <v>3.473E-3</v>
      </c>
      <c r="C31" s="1">
        <v>42</v>
      </c>
      <c r="D31" s="4">
        <v>2.5479999999999999E-3</v>
      </c>
      <c r="E31" s="8"/>
    </row>
    <row r="32" spans="1:5">
      <c r="A32" s="1">
        <v>43</v>
      </c>
      <c r="B32" s="4">
        <v>3.7109999999999999E-3</v>
      </c>
      <c r="C32" s="1">
        <v>43</v>
      </c>
      <c r="D32" s="4">
        <v>2.6610000000000002E-3</v>
      </c>
      <c r="E32" s="8"/>
    </row>
    <row r="33" spans="1:5">
      <c r="A33" s="1">
        <v>44</v>
      </c>
      <c r="B33" s="4">
        <v>3.9569999999999996E-3</v>
      </c>
      <c r="C33" s="1">
        <v>44</v>
      </c>
      <c r="D33" s="4">
        <v>2.774E-3</v>
      </c>
      <c r="E33" s="8"/>
    </row>
    <row r="34" spans="1:5">
      <c r="A34" s="1">
        <v>45</v>
      </c>
      <c r="B34" s="4">
        <v>4.2100000000000002E-3</v>
      </c>
      <c r="C34" s="1">
        <v>45</v>
      </c>
      <c r="D34" s="4">
        <v>2.8869999999999998E-3</v>
      </c>
      <c r="E34" s="8"/>
    </row>
    <row r="35" spans="1:5">
      <c r="A35" s="1">
        <v>46</v>
      </c>
      <c r="B35" s="4">
        <v>4.4689999999999999E-3</v>
      </c>
      <c r="C35" s="1">
        <v>46</v>
      </c>
      <c r="D35" s="4">
        <v>3.0119999999999999E-3</v>
      </c>
      <c r="E35" s="8"/>
    </row>
    <row r="36" spans="1:5">
      <c r="A36" s="1">
        <v>47</v>
      </c>
      <c r="B36" s="4">
        <v>4.7320000000000001E-3</v>
      </c>
      <c r="C36" s="1">
        <v>47</v>
      </c>
      <c r="D36" s="4">
        <v>3.15E-3</v>
      </c>
      <c r="E36" s="8"/>
    </row>
    <row r="37" spans="1:5">
      <c r="A37" s="1">
        <v>48</v>
      </c>
      <c r="B37" s="4">
        <v>5.0000000000000001E-3</v>
      </c>
      <c r="C37" s="1">
        <v>48</v>
      </c>
      <c r="D37" s="4">
        <v>3.3050000000000002E-3</v>
      </c>
      <c r="E37" s="8"/>
    </row>
    <row r="38" spans="1:5">
      <c r="A38" s="1">
        <v>49</v>
      </c>
      <c r="B38" s="4">
        <v>5.2690000000000002E-3</v>
      </c>
      <c r="C38" s="1">
        <v>49</v>
      </c>
      <c r="D38" s="4">
        <v>3.4780000000000002E-3</v>
      </c>
      <c r="E38" s="8"/>
    </row>
    <row r="39" spans="1:5">
      <c r="A39" s="1">
        <v>50</v>
      </c>
      <c r="B39" s="4">
        <v>5.5409999999999999E-3</v>
      </c>
      <c r="C39" s="1">
        <v>50</v>
      </c>
      <c r="D39" s="4">
        <v>3.6719999999999999E-3</v>
      </c>
      <c r="E39" s="8"/>
    </row>
    <row r="40" spans="1:5">
      <c r="A40" s="1">
        <v>51</v>
      </c>
      <c r="B40" s="4">
        <v>5.8120000000000003E-3</v>
      </c>
      <c r="C40" s="1">
        <v>51</v>
      </c>
      <c r="D40" s="4">
        <v>3.8869999999999998E-3</v>
      </c>
      <c r="E40" s="8"/>
    </row>
    <row r="41" spans="1:5">
      <c r="A41" s="1">
        <v>52</v>
      </c>
      <c r="B41" s="4">
        <v>6.0819999999999997E-3</v>
      </c>
      <c r="C41" s="1">
        <v>52</v>
      </c>
      <c r="D41" s="4">
        <v>4.1279999999999997E-3</v>
      </c>
      <c r="E41" s="8"/>
    </row>
    <row r="42" spans="1:5">
      <c r="A42" s="1">
        <v>53</v>
      </c>
      <c r="B42" s="4">
        <v>6.3489999999999996E-3</v>
      </c>
      <c r="C42" s="1">
        <v>53</v>
      </c>
      <c r="D42" s="4">
        <v>4.3959999999999997E-3</v>
      </c>
      <c r="E42" s="8"/>
    </row>
    <row r="43" spans="1:5">
      <c r="A43" s="1">
        <v>54</v>
      </c>
      <c r="B43" s="4">
        <v>6.6119999999999998E-3</v>
      </c>
      <c r="C43" s="1">
        <v>54</v>
      </c>
      <c r="D43" s="4">
        <v>4.6959999999999997E-3</v>
      </c>
      <c r="E43" s="8"/>
    </row>
    <row r="44" spans="1:5">
      <c r="A44" s="1">
        <v>55</v>
      </c>
      <c r="B44" s="4">
        <v>6.8789999999999997E-3</v>
      </c>
      <c r="C44" s="1">
        <v>55</v>
      </c>
      <c r="D44" s="4">
        <v>5.0299999999999997E-3</v>
      </c>
      <c r="E44" s="8"/>
    </row>
    <row r="45" spans="1:5">
      <c r="A45" s="1">
        <v>56</v>
      </c>
      <c r="B45" s="4">
        <v>7.1929999999999997E-3</v>
      </c>
      <c r="C45" s="1">
        <v>56</v>
      </c>
      <c r="D45" s="4">
        <v>5.4029999999999998E-3</v>
      </c>
      <c r="E45" s="8"/>
    </row>
    <row r="46" spans="1:5">
      <c r="A46" s="1">
        <v>57</v>
      </c>
      <c r="B46" s="4">
        <v>7.574E-3</v>
      </c>
      <c r="C46" s="1">
        <v>57</v>
      </c>
      <c r="D46" s="4">
        <v>5.8190000000000004E-3</v>
      </c>
      <c r="E46" s="8"/>
    </row>
    <row r="47" spans="1:5">
      <c r="A47" s="1">
        <v>58</v>
      </c>
      <c r="B47" s="4">
        <v>8.0319999999999992E-3</v>
      </c>
      <c r="C47" s="1">
        <v>58</v>
      </c>
      <c r="D47" s="4">
        <v>6.2839999999999997E-3</v>
      </c>
      <c r="E47" s="8"/>
    </row>
    <row r="48" spans="1:5">
      <c r="A48" s="1">
        <v>59</v>
      </c>
      <c r="B48" s="4">
        <v>8.5800000000000008E-3</v>
      </c>
      <c r="C48" s="1">
        <v>59</v>
      </c>
      <c r="D48" s="4">
        <v>6.8019999999999999E-3</v>
      </c>
      <c r="E48" s="8"/>
    </row>
    <row r="49" spans="1:5">
      <c r="A49" s="1">
        <v>60</v>
      </c>
      <c r="B49" s="4">
        <v>9.2309999999999996E-3</v>
      </c>
      <c r="C49" s="1">
        <v>60</v>
      </c>
      <c r="D49" s="4">
        <v>7.3800000000000003E-3</v>
      </c>
      <c r="E49" s="8"/>
    </row>
    <row r="50" spans="1:5">
      <c r="A50" s="1">
        <v>61</v>
      </c>
      <c r="B50" s="4">
        <v>9.9989999999999992E-3</v>
      </c>
      <c r="C50" s="1">
        <v>61</v>
      </c>
      <c r="D50" s="4">
        <v>8.0249999999999991E-3</v>
      </c>
      <c r="E50" s="8"/>
    </row>
    <row r="51" spans="1:5">
      <c r="A51" s="1">
        <v>62</v>
      </c>
      <c r="B51" s="4">
        <v>1.0900999999999999E-2</v>
      </c>
      <c r="C51" s="1">
        <v>62</v>
      </c>
      <c r="D51" s="4">
        <v>8.7449999999999993E-3</v>
      </c>
      <c r="E51" s="8"/>
    </row>
    <row r="52" spans="1:5">
      <c r="A52" s="1">
        <v>63</v>
      </c>
      <c r="B52" s="4">
        <v>1.1953E-2</v>
      </c>
      <c r="C52" s="1">
        <v>63</v>
      </c>
      <c r="D52" s="4">
        <v>9.5479999999999992E-3</v>
      </c>
      <c r="E52" s="8"/>
    </row>
    <row r="53" spans="1:5">
      <c r="A53" s="1">
        <v>64</v>
      </c>
      <c r="B53" s="4">
        <v>1.3174E-2</v>
      </c>
      <c r="C53" s="1">
        <v>64</v>
      </c>
      <c r="D53" s="4">
        <v>1.0442999999999999E-2</v>
      </c>
      <c r="E53" s="8"/>
    </row>
    <row r="54" spans="1:5">
      <c r="A54" s="1">
        <v>65</v>
      </c>
      <c r="B54" s="4">
        <v>1.4584E-2</v>
      </c>
      <c r="C54" s="1">
        <v>65</v>
      </c>
      <c r="D54" s="4">
        <v>1.1442000000000001E-2</v>
      </c>
      <c r="E54" s="8"/>
    </row>
    <row r="55" spans="1:5">
      <c r="A55" s="1">
        <v>66</v>
      </c>
      <c r="B55" s="4">
        <v>1.6202000000000001E-2</v>
      </c>
      <c r="C55" s="1">
        <v>66</v>
      </c>
      <c r="D55" s="4">
        <v>1.2555E-2</v>
      </c>
      <c r="E55" s="8"/>
    </row>
    <row r="56" spans="1:5">
      <c r="A56" s="1">
        <v>67</v>
      </c>
      <c r="B56" s="4">
        <v>1.8051000000000001E-2</v>
      </c>
      <c r="C56" s="1">
        <v>67</v>
      </c>
      <c r="D56" s="4">
        <v>1.3797E-2</v>
      </c>
      <c r="E56" s="8"/>
    </row>
    <row r="57" spans="1:5">
      <c r="A57" s="1">
        <v>68</v>
      </c>
      <c r="B57" s="4">
        <v>2.0152E-2</v>
      </c>
      <c r="C57" s="1">
        <v>68</v>
      </c>
      <c r="D57" s="4">
        <v>1.5181E-2</v>
      </c>
      <c r="E57" s="8"/>
    </row>
    <row r="58" spans="1:5">
      <c r="A58" s="1">
        <v>69</v>
      </c>
      <c r="B58" s="4">
        <v>2.2530000000000001E-2</v>
      </c>
      <c r="C58" s="1">
        <v>69</v>
      </c>
      <c r="D58" s="4">
        <v>1.6723999999999999E-2</v>
      </c>
      <c r="E58" s="8"/>
    </row>
    <row r="59" spans="1:5">
      <c r="A59" s="1">
        <v>70</v>
      </c>
      <c r="B59" s="4">
        <v>2.5208999999999999E-2</v>
      </c>
      <c r="C59" s="1">
        <v>70</v>
      </c>
      <c r="D59" s="4">
        <v>1.8443000000000001E-2</v>
      </c>
      <c r="E59" s="8"/>
    </row>
    <row r="60" spans="1:5">
      <c r="A60" s="1">
        <v>71</v>
      </c>
      <c r="B60" s="4">
        <v>2.8212999999999998E-2</v>
      </c>
      <c r="C60" s="1">
        <v>71</v>
      </c>
      <c r="D60" s="4">
        <v>2.0358999999999999E-2</v>
      </c>
      <c r="E60" s="8"/>
    </row>
    <row r="61" spans="1:5">
      <c r="A61" s="1">
        <v>72</v>
      </c>
      <c r="B61" s="4">
        <v>3.1569E-2</v>
      </c>
      <c r="C61" s="1">
        <v>72</v>
      </c>
      <c r="D61" s="4">
        <v>2.2494E-2</v>
      </c>
      <c r="E61" s="8"/>
    </row>
    <row r="62" spans="1:5">
      <c r="A62" s="1">
        <v>73</v>
      </c>
      <c r="B62" s="4">
        <v>3.5303000000000001E-2</v>
      </c>
      <c r="C62" s="1">
        <v>73</v>
      </c>
      <c r="D62" s="4">
        <v>2.4871000000000001E-2</v>
      </c>
      <c r="E62" s="8"/>
    </row>
    <row r="63" spans="1:5">
      <c r="A63" s="1">
        <v>74</v>
      </c>
      <c r="B63" s="4">
        <v>3.9441999999999998E-2</v>
      </c>
      <c r="C63" s="1">
        <v>74</v>
      </c>
      <c r="D63" s="4">
        <v>2.7518000000000001E-2</v>
      </c>
      <c r="E63" s="8"/>
    </row>
    <row r="64" spans="1:5">
      <c r="A64" s="1">
        <v>75</v>
      </c>
      <c r="B64" s="4">
        <v>4.4014999999999999E-2</v>
      </c>
      <c r="C64" s="1">
        <v>75</v>
      </c>
      <c r="D64" s="4">
        <v>3.0464999999999999E-2</v>
      </c>
      <c r="E64" s="8"/>
    </row>
    <row r="65" spans="1:5">
      <c r="A65" s="1">
        <v>76</v>
      </c>
      <c r="B65" s="4">
        <v>4.9049000000000002E-2</v>
      </c>
      <c r="C65" s="1">
        <v>76</v>
      </c>
      <c r="D65" s="4">
        <v>3.3743000000000002E-2</v>
      </c>
      <c r="E65" s="8"/>
    </row>
    <row r="66" spans="1:5">
      <c r="A66" s="1">
        <v>77</v>
      </c>
      <c r="B66" s="4">
        <v>5.4574999999999999E-2</v>
      </c>
      <c r="C66" s="1">
        <v>77</v>
      </c>
      <c r="D66" s="4">
        <v>3.739E-2</v>
      </c>
      <c r="E66" s="8"/>
    </row>
    <row r="67" spans="1:5">
      <c r="A67" s="1">
        <v>78</v>
      </c>
      <c r="B67" s="4">
        <v>6.0621000000000001E-2</v>
      </c>
      <c r="C67" s="1">
        <v>78</v>
      </c>
      <c r="D67" s="4">
        <v>4.1445000000000003E-2</v>
      </c>
      <c r="E67" s="8"/>
    </row>
    <row r="68" spans="1:5">
      <c r="A68" s="1">
        <v>79</v>
      </c>
      <c r="B68" s="4">
        <v>6.7221000000000003E-2</v>
      </c>
      <c r="C68" s="1">
        <v>79</v>
      </c>
      <c r="D68" s="4">
        <v>4.5950999999999999E-2</v>
      </c>
      <c r="E68" s="8"/>
    </row>
    <row r="69" spans="1:5">
      <c r="A69" s="1">
        <v>80</v>
      </c>
      <c r="B69" s="4">
        <v>7.4406E-2</v>
      </c>
      <c r="C69" s="1">
        <v>80</v>
      </c>
      <c r="D69" s="4">
        <v>5.0957000000000002E-2</v>
      </c>
      <c r="E69" s="8"/>
    </row>
    <row r="70" spans="1:5">
      <c r="A70" s="1">
        <v>81</v>
      </c>
      <c r="B70" s="4">
        <v>8.2209000000000004E-2</v>
      </c>
      <c r="C70" s="1">
        <v>81</v>
      </c>
      <c r="D70" s="4">
        <v>5.6514000000000002E-2</v>
      </c>
      <c r="E70" s="8"/>
    </row>
    <row r="71" spans="1:5">
      <c r="A71" s="1">
        <v>82</v>
      </c>
      <c r="B71" s="4">
        <v>9.0666999999999998E-2</v>
      </c>
      <c r="C71" s="1">
        <v>82</v>
      </c>
      <c r="D71" s="4">
        <v>6.2678999999999999E-2</v>
      </c>
      <c r="E71" s="8"/>
    </row>
    <row r="72" spans="1:5">
      <c r="A72" s="1">
        <v>83</v>
      </c>
      <c r="B72" s="4">
        <v>9.9816000000000002E-2</v>
      </c>
      <c r="C72" s="1">
        <v>83</v>
      </c>
      <c r="D72" s="4">
        <v>6.9513000000000005E-2</v>
      </c>
      <c r="E72" s="8"/>
    </row>
    <row r="73" spans="1:5">
      <c r="A73" s="1">
        <v>84</v>
      </c>
      <c r="B73" s="4">
        <v>0.109695</v>
      </c>
      <c r="C73" s="1">
        <v>84</v>
      </c>
      <c r="D73" s="4">
        <v>7.7084E-2</v>
      </c>
      <c r="E73" s="8"/>
    </row>
    <row r="74" spans="1:5">
      <c r="A74" s="1">
        <v>85</v>
      </c>
      <c r="B74" s="4">
        <v>0.12034599999999999</v>
      </c>
      <c r="C74" s="1">
        <v>85</v>
      </c>
      <c r="D74" s="4">
        <v>8.5461999999999996E-2</v>
      </c>
      <c r="E74" s="8"/>
    </row>
    <row r="75" spans="1:5">
      <c r="A75" s="1">
        <v>86</v>
      </c>
      <c r="B75" s="4">
        <v>0.13181300000000001</v>
      </c>
      <c r="C75" s="1">
        <v>86</v>
      </c>
      <c r="D75" s="4">
        <v>9.4726000000000005E-2</v>
      </c>
      <c r="E75" s="8"/>
    </row>
    <row r="76" spans="1:5">
      <c r="A76" s="1">
        <v>87</v>
      </c>
      <c r="B76" s="4">
        <v>0.14414199999999999</v>
      </c>
      <c r="C76" s="1">
        <v>87</v>
      </c>
      <c r="D76" s="4">
        <v>0.10495599999999999</v>
      </c>
      <c r="E76" s="6"/>
    </row>
    <row r="77" spans="1:5">
      <c r="A77" s="1">
        <v>88</v>
      </c>
      <c r="B77" s="4">
        <v>0.157384</v>
      </c>
      <c r="C77" s="1">
        <v>88</v>
      </c>
      <c r="D77" s="4">
        <v>0.11624</v>
      </c>
      <c r="E77" s="6"/>
    </row>
    <row r="78" spans="1:5">
      <c r="A78" s="1">
        <v>89</v>
      </c>
      <c r="B78" s="4">
        <v>0.17159099999999999</v>
      </c>
      <c r="C78" s="1">
        <v>89</v>
      </c>
      <c r="D78" s="4">
        <v>0.128668</v>
      </c>
      <c r="E78" s="6"/>
    </row>
    <row r="79" spans="1:5">
      <c r="A79" s="1">
        <v>90</v>
      </c>
      <c r="B79" s="4">
        <v>0.18682099999999999</v>
      </c>
      <c r="C79" s="1">
        <v>90</v>
      </c>
      <c r="D79" s="4">
        <v>0.14233599999999999</v>
      </c>
      <c r="E79" s="6"/>
    </row>
    <row r="80" spans="1:5">
      <c r="A80" s="1">
        <v>91</v>
      </c>
      <c r="B80" s="4">
        <v>0.20313100000000001</v>
      </c>
      <c r="C80" s="1">
        <v>91</v>
      </c>
      <c r="D80" s="4">
        <v>0.15734000000000001</v>
      </c>
      <c r="E80" s="6"/>
    </row>
    <row r="81" spans="1:5">
      <c r="A81" s="1">
        <v>92</v>
      </c>
      <c r="B81" s="4">
        <v>0.22058700000000001</v>
      </c>
      <c r="C81" s="1">
        <v>92</v>
      </c>
      <c r="D81" s="4">
        <v>0.17377999999999999</v>
      </c>
      <c r="E81" s="6"/>
    </row>
    <row r="82" spans="1:5">
      <c r="A82" s="1">
        <v>93</v>
      </c>
      <c r="B82" s="4">
        <v>0.23925099999999999</v>
      </c>
      <c r="C82" s="1">
        <v>93</v>
      </c>
      <c r="D82" s="4">
        <v>0.19175400000000001</v>
      </c>
      <c r="E82" s="6"/>
    </row>
    <row r="83" spans="1:5">
      <c r="A83" s="1">
        <v>94</v>
      </c>
      <c r="B83" s="4">
        <v>0.25919399999999998</v>
      </c>
      <c r="C83" s="1">
        <v>94</v>
      </c>
      <c r="D83" s="4">
        <v>0.21135699999999999</v>
      </c>
      <c r="E83" s="6"/>
    </row>
    <row r="84" spans="1:5">
      <c r="A84" s="1">
        <v>95</v>
      </c>
      <c r="B84" s="4">
        <v>0.28018199999999999</v>
      </c>
      <c r="C84" s="1">
        <v>95</v>
      </c>
      <c r="D84" s="4">
        <v>0.232435</v>
      </c>
      <c r="E84" s="6"/>
    </row>
    <row r="85" spans="1:5">
      <c r="A85" s="1">
        <v>96</v>
      </c>
      <c r="B85" s="4">
        <v>0.30105300000000002</v>
      </c>
      <c r="C85" s="1">
        <v>96</v>
      </c>
      <c r="D85" s="4">
        <v>0.25402000000000002</v>
      </c>
      <c r="E85" s="6"/>
    </row>
    <row r="86" spans="1:5">
      <c r="A86" s="1">
        <v>97</v>
      </c>
      <c r="B86" s="4">
        <v>0.32148199999999999</v>
      </c>
      <c r="C86" s="1">
        <v>97</v>
      </c>
      <c r="D86" s="4">
        <v>0.27574500000000002</v>
      </c>
      <c r="E86" s="6"/>
    </row>
    <row r="87" spans="1:5">
      <c r="A87" s="1">
        <v>98</v>
      </c>
      <c r="B87" s="4">
        <v>0.34143600000000002</v>
      </c>
      <c r="C87" s="1">
        <v>98</v>
      </c>
      <c r="D87" s="4">
        <v>0.29747800000000002</v>
      </c>
      <c r="E87" s="6"/>
    </row>
    <row r="88" spans="1:5">
      <c r="A88" s="1">
        <v>99</v>
      </c>
      <c r="B88" s="4">
        <v>0.36088599999999998</v>
      </c>
      <c r="C88" s="1">
        <v>99</v>
      </c>
      <c r="D88" s="4">
        <v>0.31909799999999999</v>
      </c>
      <c r="E88" s="6"/>
    </row>
    <row r="89" spans="1:5">
      <c r="A89" s="1">
        <v>100</v>
      </c>
      <c r="B89" s="4">
        <v>0.37980900000000001</v>
      </c>
      <c r="C89" s="1">
        <v>100</v>
      </c>
      <c r="D89" s="4">
        <v>0.34049400000000002</v>
      </c>
      <c r="E89" s="6"/>
    </row>
    <row r="90" spans="1:5">
      <c r="A90" s="1">
        <v>101</v>
      </c>
      <c r="B90" s="4">
        <v>0.39818300000000001</v>
      </c>
      <c r="C90" s="1">
        <v>101</v>
      </c>
      <c r="D90" s="4">
        <v>0.361568</v>
      </c>
      <c r="E90" s="6"/>
    </row>
    <row r="91" spans="1:5">
      <c r="A91" s="1">
        <v>102</v>
      </c>
      <c r="B91" s="4">
        <v>0.415993</v>
      </c>
      <c r="C91" s="1">
        <v>102</v>
      </c>
      <c r="D91" s="4">
        <v>0.38223400000000002</v>
      </c>
      <c r="E91" s="6"/>
    </row>
    <row r="92" spans="1:5">
      <c r="A92" s="1">
        <v>103</v>
      </c>
      <c r="B92" s="4">
        <v>0.43322500000000003</v>
      </c>
      <c r="C92" s="1">
        <v>103</v>
      </c>
      <c r="D92" s="4">
        <v>0.40241500000000002</v>
      </c>
      <c r="E92" s="6"/>
    </row>
    <row r="93" spans="1:5">
      <c r="A93" s="1">
        <v>104</v>
      </c>
      <c r="B93" s="4">
        <v>0.44986799999999999</v>
      </c>
      <c r="C93" s="1">
        <v>104</v>
      </c>
      <c r="D93" s="4">
        <v>0.422045</v>
      </c>
      <c r="E93" s="6"/>
    </row>
    <row r="94" spans="1:5">
      <c r="A94" s="1">
        <v>105</v>
      </c>
      <c r="B94" s="4">
        <v>0.465916</v>
      </c>
      <c r="C94" s="1">
        <v>105</v>
      </c>
      <c r="D94" s="4">
        <v>0.44106699999999999</v>
      </c>
      <c r="E94" s="6"/>
    </row>
    <row r="95" spans="1:5">
      <c r="A95" s="1">
        <v>106</v>
      </c>
      <c r="B95" s="4">
        <v>0.48136400000000001</v>
      </c>
      <c r="C95" s="1">
        <v>106</v>
      </c>
      <c r="D95" s="4">
        <v>0.45943400000000001</v>
      </c>
      <c r="E95" s="6"/>
    </row>
    <row r="96" spans="1:5">
      <c r="A96" s="1">
        <v>107</v>
      </c>
      <c r="B96" s="4">
        <v>0.49620799999999998</v>
      </c>
      <c r="C96" s="1">
        <v>107</v>
      </c>
      <c r="D96" s="4">
        <v>0.47710599999999997</v>
      </c>
      <c r="E96" s="6"/>
    </row>
    <row r="97" spans="1:5">
      <c r="A97" s="1">
        <v>108</v>
      </c>
      <c r="B97" s="4">
        <v>0.51044900000000004</v>
      </c>
      <c r="C97" s="1">
        <v>108</v>
      </c>
      <c r="D97" s="4">
        <v>0.49405199999999999</v>
      </c>
      <c r="E97" s="6"/>
    </row>
    <row r="98" spans="1:5">
      <c r="A98" s="1">
        <v>109</v>
      </c>
      <c r="B98" s="4">
        <v>0.524088</v>
      </c>
      <c r="C98" s="1">
        <v>109</v>
      </c>
      <c r="D98" s="4">
        <v>0.51024400000000003</v>
      </c>
      <c r="E98" s="6"/>
    </row>
    <row r="99" spans="1:5">
      <c r="A99" s="1">
        <v>110</v>
      </c>
      <c r="B99" s="4">
        <v>0.53712599999999999</v>
      </c>
      <c r="C99" s="1">
        <v>110</v>
      </c>
      <c r="D99" s="4">
        <v>0.52566400000000002</v>
      </c>
      <c r="E99" s="6"/>
    </row>
    <row r="100" spans="1:5">
      <c r="A100" s="1">
        <v>111</v>
      </c>
      <c r="B100" s="4">
        <v>0.54956799999999995</v>
      </c>
      <c r="C100" s="1">
        <v>111</v>
      </c>
      <c r="D100" s="4">
        <v>0.540296</v>
      </c>
      <c r="E100" s="6"/>
    </row>
    <row r="101" spans="1:5">
      <c r="A101" s="1">
        <v>112</v>
      </c>
      <c r="B101" s="4">
        <v>0.561419</v>
      </c>
      <c r="C101" s="1">
        <v>112</v>
      </c>
      <c r="D101" s="4">
        <v>0.55413000000000001</v>
      </c>
      <c r="E101" s="6"/>
    </row>
    <row r="102" spans="1:5">
      <c r="A102" s="1">
        <v>113</v>
      </c>
      <c r="B102" s="4">
        <v>0.572685</v>
      </c>
      <c r="C102" s="1">
        <v>113</v>
      </c>
      <c r="D102" s="4">
        <v>0.56715899999999997</v>
      </c>
      <c r="E102" s="6"/>
    </row>
    <row r="103" spans="1:5">
      <c r="A103" s="1">
        <v>114</v>
      </c>
      <c r="B103" s="4">
        <v>0.58337099999999997</v>
      </c>
      <c r="C103" s="1">
        <v>114</v>
      </c>
      <c r="D103" s="4">
        <v>0.57937899999999998</v>
      </c>
      <c r="E103" s="6"/>
    </row>
    <row r="104" spans="1:5">
      <c r="A104" s="1">
        <v>115</v>
      </c>
      <c r="B104" s="4">
        <v>0.59348500000000004</v>
      </c>
      <c r="C104" s="1">
        <v>115</v>
      </c>
      <c r="D104" s="4">
        <v>0.59078799999999998</v>
      </c>
      <c r="E104" s="6"/>
    </row>
    <row r="105" spans="1:5">
      <c r="A105" s="1">
        <v>116</v>
      </c>
      <c r="B105" s="4">
        <v>0.60303399999999996</v>
      </c>
      <c r="C105" s="1">
        <v>116</v>
      </c>
      <c r="D105" s="4">
        <v>0.60138499999999995</v>
      </c>
      <c r="E105" s="6"/>
    </row>
    <row r="106" spans="1:5">
      <c r="A106" s="1">
        <v>117</v>
      </c>
      <c r="B106" s="4">
        <v>0.61202400000000001</v>
      </c>
      <c r="C106" s="1">
        <v>117</v>
      </c>
      <c r="D106" s="4">
        <v>0.61117100000000002</v>
      </c>
      <c r="E106" s="6"/>
    </row>
    <row r="107" spans="1:5">
      <c r="A107" s="1">
        <v>118</v>
      </c>
      <c r="B107" s="4">
        <v>0.62046400000000002</v>
      </c>
      <c r="C107" s="1">
        <v>118</v>
      </c>
      <c r="D107" s="4">
        <v>0.620147</v>
      </c>
      <c r="E107" s="6"/>
    </row>
    <row r="108" spans="1:5">
      <c r="A108" s="1">
        <v>119</v>
      </c>
      <c r="B108" s="4">
        <v>0.628359</v>
      </c>
      <c r="C108" s="1">
        <v>119</v>
      </c>
      <c r="D108" s="4">
        <v>0.62831300000000001</v>
      </c>
      <c r="E108" s="6"/>
    </row>
    <row r="109" spans="1:5">
      <c r="A109" s="1">
        <v>120</v>
      </c>
      <c r="B109" s="4">
        <v>1</v>
      </c>
      <c r="C109" s="1">
        <v>120</v>
      </c>
      <c r="D109" s="4">
        <v>1</v>
      </c>
      <c r="E109" s="6"/>
    </row>
    <row r="110" spans="1:5">
      <c r="B110" s="4"/>
    </row>
    <row r="111" spans="1:5">
      <c r="B111" s="4"/>
    </row>
    <row r="112" spans="1:5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</sheetData>
  <mergeCells count="2">
    <mergeCell ref="A1:B1"/>
    <mergeCell ref="C1:D1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RowHeight="12.75"/>
  <cols>
    <col min="1" max="1" width="10.42578125" bestFit="1" customWidth="1"/>
    <col min="2" max="2" width="12.5703125" bestFit="1" customWidth="1"/>
  </cols>
  <sheetData>
    <row r="1" spans="1:9">
      <c r="A1" t="s">
        <v>51</v>
      </c>
      <c r="B1" s="73">
        <v>750000</v>
      </c>
      <c r="C1" t="s">
        <v>52</v>
      </c>
      <c r="E1" s="56">
        <v>0.12</v>
      </c>
    </row>
    <row r="2" spans="1:9">
      <c r="A2" t="s">
        <v>53</v>
      </c>
      <c r="B2" s="74">
        <v>0.12</v>
      </c>
      <c r="C2" t="s">
        <v>54</v>
      </c>
      <c r="D2">
        <v>10</v>
      </c>
      <c r="E2" t="s">
        <v>55</v>
      </c>
      <c r="F2" t="s">
        <v>56</v>
      </c>
      <c r="G2">
        <f>(1-(1+B2)^-D2)/B2</f>
        <v>5.650223028410867</v>
      </c>
      <c r="I2" s="12">
        <v>1</v>
      </c>
    </row>
    <row r="3" spans="1:9">
      <c r="B3" s="56">
        <v>0.14000000000000001</v>
      </c>
      <c r="C3" t="s">
        <v>54</v>
      </c>
      <c r="D3">
        <f>20-D2</f>
        <v>10</v>
      </c>
      <c r="E3" t="s">
        <v>55</v>
      </c>
      <c r="F3" t="s">
        <v>56</v>
      </c>
      <c r="G3">
        <f>((1+B2)^-D2)*(1-(1+B3)^-D3)/B3</f>
        <v>1.6794496370685146</v>
      </c>
      <c r="I3" s="12">
        <v>2</v>
      </c>
    </row>
    <row r="4" spans="1:9" ht="15">
      <c r="A4" t="s">
        <v>57</v>
      </c>
      <c r="B4" s="75">
        <f>B1/(G2+G3)</f>
        <v>102323.80547255283</v>
      </c>
      <c r="C4" s="59">
        <v>2</v>
      </c>
      <c r="I4" s="12"/>
    </row>
    <row r="5" spans="1:9" ht="15">
      <c r="B5" s="75"/>
      <c r="C5" s="59"/>
    </row>
    <row r="6" spans="1:9" ht="15">
      <c r="B6" s="76"/>
      <c r="C6" s="5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1"/>
  <sheetViews>
    <sheetView workbookViewId="0"/>
  </sheetViews>
  <sheetFormatPr defaultRowHeight="12.75"/>
  <cols>
    <col min="1" max="1" width="14.28515625" customWidth="1"/>
    <col min="2" max="2" width="17" customWidth="1"/>
    <col min="3" max="3" width="14.28515625" bestFit="1" customWidth="1"/>
    <col min="4" max="4" width="15.28515625" bestFit="1" customWidth="1"/>
    <col min="5" max="8" width="14.28515625" bestFit="1" customWidth="1"/>
    <col min="9" max="9" width="15.28515625" bestFit="1" customWidth="1"/>
    <col min="11" max="11" width="15.7109375" bestFit="1" customWidth="1"/>
    <col min="12" max="12" width="10.5703125" bestFit="1" customWidth="1"/>
  </cols>
  <sheetData>
    <row r="1" spans="1:11">
      <c r="A1" t="s">
        <v>51</v>
      </c>
      <c r="B1" s="73">
        <v>750000</v>
      </c>
      <c r="E1" s="56"/>
    </row>
    <row r="2" spans="1:11">
      <c r="A2" t="s">
        <v>53</v>
      </c>
      <c r="B2" s="74">
        <v>0.12</v>
      </c>
      <c r="C2" t="s">
        <v>54</v>
      </c>
      <c r="D2">
        <v>10</v>
      </c>
      <c r="E2" t="s">
        <v>55</v>
      </c>
    </row>
    <row r="3" spans="1:11">
      <c r="B3" s="56">
        <v>0.14000000000000001</v>
      </c>
      <c r="C3" t="s">
        <v>54</v>
      </c>
      <c r="D3">
        <f>20-D2</f>
        <v>10</v>
      </c>
      <c r="E3" t="s">
        <v>55</v>
      </c>
    </row>
    <row r="4" spans="1:11" ht="15">
      <c r="B4" s="75"/>
      <c r="C4" s="59"/>
    </row>
    <row r="5" spans="1:11" ht="15">
      <c r="B5" s="75"/>
      <c r="C5" s="59"/>
    </row>
    <row r="6" spans="1:11" ht="15">
      <c r="A6" t="s">
        <v>58</v>
      </c>
      <c r="B6" s="76">
        <f>B2/(LN(1+B2))</f>
        <v>1.0588669556602053</v>
      </c>
      <c r="C6" s="94">
        <v>2</v>
      </c>
      <c r="D6" s="95"/>
      <c r="E6" s="95"/>
      <c r="F6" s="95"/>
      <c r="G6" s="95"/>
    </row>
    <row r="7" spans="1:11" ht="15.75" thickBot="1">
      <c r="A7" t="s">
        <v>74</v>
      </c>
      <c r="B7" s="76">
        <f>B3/(LN(1+B3))</f>
        <v>1.0684717741716563</v>
      </c>
      <c r="C7" s="94"/>
      <c r="D7" s="95"/>
      <c r="E7" s="95"/>
      <c r="F7" s="95"/>
      <c r="G7" s="95"/>
    </row>
    <row r="8" spans="1:11" ht="39" thickBot="1">
      <c r="A8" s="60" t="s">
        <v>28</v>
      </c>
      <c r="B8" s="77" t="s">
        <v>59</v>
      </c>
      <c r="C8" s="98" t="s">
        <v>60</v>
      </c>
      <c r="D8" s="99" t="s">
        <v>61</v>
      </c>
      <c r="E8" s="100" t="s">
        <v>57</v>
      </c>
      <c r="F8" s="100" t="s">
        <v>62</v>
      </c>
      <c r="G8" s="101" t="s">
        <v>63</v>
      </c>
      <c r="H8" s="61" t="s">
        <v>64</v>
      </c>
      <c r="I8" s="77" t="s">
        <v>65</v>
      </c>
      <c r="J8" s="35"/>
      <c r="K8" s="35"/>
    </row>
    <row r="9" spans="1:11">
      <c r="A9" s="64">
        <v>1</v>
      </c>
      <c r="B9" s="78">
        <f>'Q2 (ii)'!E6</f>
        <v>70000</v>
      </c>
      <c r="C9" s="102">
        <f>B9*$B$6</f>
        <v>74120.686896214364</v>
      </c>
      <c r="D9" s="103">
        <f>B1</f>
        <v>750000</v>
      </c>
      <c r="E9" s="104">
        <f>C9</f>
        <v>74120.686896214364</v>
      </c>
      <c r="F9" s="104">
        <f>IF(A9&lt;=$D$2,D9*$B$2,D9*$B$3)</f>
        <v>90000</v>
      </c>
      <c r="G9" s="105">
        <f>MIN(E9,F9)</f>
        <v>74120.686896214364</v>
      </c>
      <c r="H9" s="65">
        <f>E9-F9</f>
        <v>-15879.313103785636</v>
      </c>
      <c r="I9" s="79">
        <f>D9-H9</f>
        <v>765879.31310378562</v>
      </c>
    </row>
    <row r="10" spans="1:11">
      <c r="A10" s="64">
        <v>2</v>
      </c>
      <c r="B10" s="80">
        <f>'Q2 (ii)'!E7</f>
        <v>70000</v>
      </c>
      <c r="C10" s="106">
        <f t="shared" ref="C10:C18" si="0">B10*$B$6</f>
        <v>74120.686896214364</v>
      </c>
      <c r="D10" s="103">
        <f t="shared" ref="D10:D18" si="1">I9</f>
        <v>765879.31310378562</v>
      </c>
      <c r="E10" s="104">
        <f t="shared" ref="E10:E18" si="2">C10</f>
        <v>74120.686896214364</v>
      </c>
      <c r="F10" s="104">
        <f>IF(A10&lt;=$D$2,D10*$B$2,D10*$B$3)</f>
        <v>91905.517572454264</v>
      </c>
      <c r="G10" s="105">
        <f t="shared" ref="G10:G18" si="3">MIN(E10,F10)</f>
        <v>74120.686896214364</v>
      </c>
      <c r="H10" s="65">
        <f t="shared" ref="H10:H18" si="4">E10-F10</f>
        <v>-17784.830676239901</v>
      </c>
      <c r="I10" s="79">
        <f t="shared" ref="I10:I18" si="5">D10-H10</f>
        <v>783664.14378002554</v>
      </c>
    </row>
    <row r="11" spans="1:11">
      <c r="A11" s="64">
        <v>3</v>
      </c>
      <c r="B11" s="80">
        <f>'Q2 (ii)'!E8</f>
        <v>100800</v>
      </c>
      <c r="C11" s="106">
        <f t="shared" si="0"/>
        <v>106733.7891305487</v>
      </c>
      <c r="D11" s="103">
        <f t="shared" si="1"/>
        <v>783664.14378002554</v>
      </c>
      <c r="E11" s="104">
        <f t="shared" si="2"/>
        <v>106733.7891305487</v>
      </c>
      <c r="F11" s="104">
        <f t="shared" ref="F11:F18" si="6">IF(A11&lt;=$D$2,D11*$B$2,D11*$B$3)</f>
        <v>94039.697253603066</v>
      </c>
      <c r="G11" s="105">
        <f t="shared" si="3"/>
        <v>94039.697253603066</v>
      </c>
      <c r="H11" s="65">
        <f t="shared" si="4"/>
        <v>12694.091876945633</v>
      </c>
      <c r="I11" s="79">
        <f t="shared" si="5"/>
        <v>770970.05190307996</v>
      </c>
    </row>
    <row r="12" spans="1:11">
      <c r="A12" s="64">
        <v>4</v>
      </c>
      <c r="B12" s="80">
        <f>'Q2 (ii)'!E9</f>
        <v>100800</v>
      </c>
      <c r="C12" s="106">
        <f t="shared" si="0"/>
        <v>106733.7891305487</v>
      </c>
      <c r="D12" s="103">
        <f t="shared" si="1"/>
        <v>770970.05190307996</v>
      </c>
      <c r="E12" s="104">
        <f t="shared" si="2"/>
        <v>106733.7891305487</v>
      </c>
      <c r="F12" s="104">
        <f t="shared" si="6"/>
        <v>92516.406228369597</v>
      </c>
      <c r="G12" s="105">
        <f t="shared" si="3"/>
        <v>92516.406228369597</v>
      </c>
      <c r="H12" s="65">
        <f t="shared" si="4"/>
        <v>14217.382902179103</v>
      </c>
      <c r="I12" s="79">
        <f t="shared" si="5"/>
        <v>756752.66900090082</v>
      </c>
    </row>
    <row r="13" spans="1:11">
      <c r="A13" s="64">
        <v>5</v>
      </c>
      <c r="B13" s="80">
        <f>'Q2 (ii)'!E10</f>
        <v>145152</v>
      </c>
      <c r="C13" s="106">
        <f t="shared" si="0"/>
        <v>153696.65634799012</v>
      </c>
      <c r="D13" s="103">
        <f t="shared" si="1"/>
        <v>756752.66900090082</v>
      </c>
      <c r="E13" s="104">
        <f t="shared" si="2"/>
        <v>153696.65634799012</v>
      </c>
      <c r="F13" s="104">
        <f t="shared" si="6"/>
        <v>90810.320280108092</v>
      </c>
      <c r="G13" s="105">
        <f t="shared" si="3"/>
        <v>90810.320280108092</v>
      </c>
      <c r="H13" s="65">
        <f t="shared" si="4"/>
        <v>62886.336067882032</v>
      </c>
      <c r="I13" s="79">
        <f t="shared" si="5"/>
        <v>693866.3329330188</v>
      </c>
    </row>
    <row r="14" spans="1:11">
      <c r="A14" s="64">
        <v>6</v>
      </c>
      <c r="B14" s="80">
        <f>'Q2 (ii)'!E11</f>
        <v>145152</v>
      </c>
      <c r="C14" s="106">
        <f t="shared" si="0"/>
        <v>153696.65634799012</v>
      </c>
      <c r="D14" s="103">
        <f t="shared" si="1"/>
        <v>693866.3329330188</v>
      </c>
      <c r="E14" s="104">
        <f t="shared" si="2"/>
        <v>153696.65634799012</v>
      </c>
      <c r="F14" s="104">
        <f t="shared" si="6"/>
        <v>83263.959951962257</v>
      </c>
      <c r="G14" s="105">
        <f t="shared" si="3"/>
        <v>83263.959951962257</v>
      </c>
      <c r="H14" s="65">
        <f t="shared" si="4"/>
        <v>70432.696396027866</v>
      </c>
      <c r="I14" s="79">
        <f t="shared" si="5"/>
        <v>623433.63653699099</v>
      </c>
    </row>
    <row r="15" spans="1:11">
      <c r="A15" s="64">
        <v>7</v>
      </c>
      <c r="B15" s="80">
        <f>'Q2 (ii)'!E12</f>
        <v>209018.88</v>
      </c>
      <c r="C15" s="106">
        <f t="shared" si="0"/>
        <v>221323.18514110579</v>
      </c>
      <c r="D15" s="103">
        <f t="shared" si="1"/>
        <v>623433.63653699099</v>
      </c>
      <c r="E15" s="104">
        <f t="shared" si="2"/>
        <v>221323.18514110579</v>
      </c>
      <c r="F15" s="104">
        <f t="shared" si="6"/>
        <v>74812.036384438921</v>
      </c>
      <c r="G15" s="105">
        <f t="shared" si="3"/>
        <v>74812.036384438921</v>
      </c>
      <c r="H15" s="65">
        <f t="shared" si="4"/>
        <v>146511.14875666687</v>
      </c>
      <c r="I15" s="79">
        <f t="shared" si="5"/>
        <v>476922.48778032413</v>
      </c>
    </row>
    <row r="16" spans="1:11">
      <c r="A16" s="64">
        <v>8</v>
      </c>
      <c r="B16" s="80">
        <f>'Q2 (ii)'!E13</f>
        <v>209018.88</v>
      </c>
      <c r="C16" s="106">
        <f t="shared" si="0"/>
        <v>221323.18514110579</v>
      </c>
      <c r="D16" s="103">
        <f t="shared" si="1"/>
        <v>476922.48778032413</v>
      </c>
      <c r="E16" s="104">
        <f t="shared" si="2"/>
        <v>221323.18514110579</v>
      </c>
      <c r="F16" s="104">
        <f t="shared" si="6"/>
        <v>57230.69853363889</v>
      </c>
      <c r="G16" s="105">
        <f t="shared" si="3"/>
        <v>57230.69853363889</v>
      </c>
      <c r="H16" s="65">
        <f t="shared" si="4"/>
        <v>164092.48660746688</v>
      </c>
      <c r="I16" s="79">
        <f t="shared" si="5"/>
        <v>312830.00117285724</v>
      </c>
    </row>
    <row r="17" spans="1:13">
      <c r="A17" s="64">
        <v>9</v>
      </c>
      <c r="B17" s="80">
        <f>'Q2 (ii)'!E14</f>
        <v>300987.18719999999</v>
      </c>
      <c r="C17" s="106">
        <f t="shared" si="0"/>
        <v>318705.38660319231</v>
      </c>
      <c r="D17" s="103">
        <f t="shared" si="1"/>
        <v>312830.00117285724</v>
      </c>
      <c r="E17" s="104">
        <f t="shared" si="2"/>
        <v>318705.38660319231</v>
      </c>
      <c r="F17" s="104">
        <f t="shared" si="6"/>
        <v>37539.60014074287</v>
      </c>
      <c r="G17" s="105">
        <f t="shared" si="3"/>
        <v>37539.60014074287</v>
      </c>
      <c r="H17" s="65">
        <f t="shared" si="4"/>
        <v>281165.78646244947</v>
      </c>
      <c r="I17" s="79">
        <f t="shared" si="5"/>
        <v>31664.214710407774</v>
      </c>
    </row>
    <row r="18" spans="1:13" ht="15">
      <c r="A18" s="64">
        <v>10</v>
      </c>
      <c r="B18" s="80">
        <f>'Q2 (ii)'!E15</f>
        <v>300987.18719999999</v>
      </c>
      <c r="C18" s="106">
        <f t="shared" si="0"/>
        <v>318705.38660319231</v>
      </c>
      <c r="D18" s="103">
        <f t="shared" si="1"/>
        <v>31664.214710407774</v>
      </c>
      <c r="E18" s="104">
        <f t="shared" si="2"/>
        <v>318705.38660319231</v>
      </c>
      <c r="F18" s="104">
        <f t="shared" si="6"/>
        <v>3799.7057652489329</v>
      </c>
      <c r="G18" s="105">
        <f t="shared" si="3"/>
        <v>3799.7057652489329</v>
      </c>
      <c r="H18" s="65">
        <f t="shared" si="4"/>
        <v>314905.68083794339</v>
      </c>
      <c r="I18" s="79">
        <f t="shared" si="5"/>
        <v>-283241.46612753562</v>
      </c>
      <c r="K18" t="s">
        <v>66</v>
      </c>
      <c r="L18" s="81">
        <f>ROW(I18)-ROW($A$8)+2017</f>
        <v>2027</v>
      </c>
      <c r="M18" s="94">
        <v>3</v>
      </c>
    </row>
    <row r="19" spans="1:13">
      <c r="A19" s="64">
        <v>11</v>
      </c>
      <c r="B19" s="80">
        <f>'Q2 (ii)'!E16</f>
        <v>433421.54956799996</v>
      </c>
      <c r="C19" s="106">
        <f>B19*$B$7</f>
        <v>463098.6920311494</v>
      </c>
      <c r="D19" s="103"/>
      <c r="E19" s="104"/>
      <c r="F19" s="104"/>
      <c r="G19" s="104"/>
      <c r="H19" s="65"/>
      <c r="I19" s="79"/>
    </row>
    <row r="20" spans="1:13">
      <c r="A20" s="64">
        <v>12</v>
      </c>
      <c r="B20" s="80">
        <f>'Q2 (ii)'!E17</f>
        <v>433421.54956799996</v>
      </c>
      <c r="C20" s="106">
        <f t="shared" ref="C20:C28" si="7">B20*$B$7</f>
        <v>463098.6920311494</v>
      </c>
      <c r="D20" s="103"/>
      <c r="E20" s="104"/>
      <c r="F20" s="104"/>
      <c r="G20" s="104"/>
      <c r="H20" s="65"/>
      <c r="I20" s="79"/>
    </row>
    <row r="21" spans="1:13">
      <c r="A21" s="64">
        <v>13</v>
      </c>
      <c r="B21" s="80">
        <f>'Q2 (ii)'!E18</f>
        <v>624127.03137791995</v>
      </c>
      <c r="C21" s="106">
        <f t="shared" si="7"/>
        <v>666862.11652485514</v>
      </c>
      <c r="D21" s="103"/>
      <c r="E21" s="104"/>
      <c r="F21" s="104"/>
      <c r="G21" s="104"/>
      <c r="H21" s="65"/>
      <c r="I21" s="79"/>
    </row>
    <row r="22" spans="1:13">
      <c r="A22" s="64">
        <v>14</v>
      </c>
      <c r="B22" s="80">
        <f>'Q2 (ii)'!E19</f>
        <v>624127.03137791995</v>
      </c>
      <c r="C22" s="106">
        <f t="shared" si="7"/>
        <v>666862.11652485514</v>
      </c>
      <c r="D22" s="103"/>
      <c r="E22" s="104"/>
      <c r="F22" s="104"/>
      <c r="G22" s="104"/>
      <c r="H22" s="65"/>
      <c r="I22" s="79"/>
    </row>
    <row r="23" spans="1:13">
      <c r="A23" s="64">
        <v>15</v>
      </c>
      <c r="B23" s="80">
        <f>'Q2 (ii)'!E20</f>
        <v>898742.92518420471</v>
      </c>
      <c r="C23" s="106">
        <f t="shared" si="7"/>
        <v>960281.44779579132</v>
      </c>
      <c r="D23" s="103"/>
      <c r="E23" s="104"/>
      <c r="F23" s="104"/>
      <c r="G23" s="104"/>
      <c r="H23" s="65"/>
      <c r="I23" s="79"/>
    </row>
    <row r="24" spans="1:13">
      <c r="A24" s="64">
        <v>16</v>
      </c>
      <c r="B24" s="80">
        <f>'Q2 (ii)'!E21</f>
        <v>898742.92518420471</v>
      </c>
      <c r="C24" s="106">
        <f t="shared" si="7"/>
        <v>960281.44779579132</v>
      </c>
      <c r="D24" s="103"/>
      <c r="E24" s="104"/>
      <c r="F24" s="104"/>
      <c r="G24" s="104"/>
      <c r="H24" s="65"/>
      <c r="I24" s="79"/>
    </row>
    <row r="25" spans="1:13">
      <c r="A25" s="64">
        <v>17</v>
      </c>
      <c r="B25" s="80">
        <f>'Q2 (ii)'!E22</f>
        <v>1294189.8122652548</v>
      </c>
      <c r="C25" s="106">
        <f t="shared" si="7"/>
        <v>1382805.2848259395</v>
      </c>
      <c r="D25" s="103"/>
      <c r="E25" s="104"/>
      <c r="F25" s="104"/>
      <c r="G25" s="104"/>
      <c r="H25" s="65"/>
      <c r="I25" s="79"/>
    </row>
    <row r="26" spans="1:13">
      <c r="A26" s="64">
        <v>18</v>
      </c>
      <c r="B26" s="80">
        <f>'Q2 (ii)'!E23</f>
        <v>1294189.8122652548</v>
      </c>
      <c r="C26" s="106">
        <f t="shared" si="7"/>
        <v>1382805.2848259395</v>
      </c>
      <c r="D26" s="103"/>
      <c r="E26" s="104"/>
      <c r="F26" s="104"/>
      <c r="G26" s="104"/>
      <c r="H26" s="65"/>
      <c r="I26" s="79"/>
    </row>
    <row r="27" spans="1:13">
      <c r="A27" s="64">
        <v>19</v>
      </c>
      <c r="B27" s="80">
        <f>'Q2 (ii)'!E24</f>
        <v>1863633.3296619668</v>
      </c>
      <c r="C27" s="106">
        <f t="shared" si="7"/>
        <v>1991239.6101493528</v>
      </c>
      <c r="D27" s="103"/>
      <c r="E27" s="104"/>
      <c r="F27" s="104"/>
      <c r="G27" s="104"/>
      <c r="H27" s="65"/>
      <c r="I27" s="79"/>
    </row>
    <row r="28" spans="1:13" ht="13.5" thickBot="1">
      <c r="A28" s="68">
        <v>20</v>
      </c>
      <c r="B28" s="82">
        <f>'Q2 (ii)'!E25</f>
        <v>1863633.3296619668</v>
      </c>
      <c r="C28" s="107">
        <f t="shared" si="7"/>
        <v>1991239.6101493528</v>
      </c>
      <c r="D28" s="108"/>
      <c r="E28" s="109"/>
      <c r="F28" s="109"/>
      <c r="G28" s="109"/>
      <c r="H28" s="71"/>
      <c r="I28" s="83"/>
    </row>
    <row r="29" spans="1:13" ht="15">
      <c r="C29" s="94">
        <v>2</v>
      </c>
      <c r="D29" s="94">
        <v>1</v>
      </c>
      <c r="E29" s="94">
        <v>2</v>
      </c>
      <c r="F29" s="94">
        <v>1</v>
      </c>
      <c r="G29" s="94">
        <v>1</v>
      </c>
      <c r="H29" s="59">
        <v>2</v>
      </c>
      <c r="I29" s="59">
        <v>2</v>
      </c>
    </row>
    <row r="30" spans="1:13">
      <c r="C30" s="95"/>
      <c r="D30" s="95"/>
      <c r="E30" s="95"/>
      <c r="F30" s="95"/>
      <c r="G30" s="95"/>
    </row>
    <row r="31" spans="1:13">
      <c r="C31" s="95"/>
      <c r="D31" s="95"/>
      <c r="E31" s="95"/>
      <c r="F31" s="95"/>
      <c r="G31" s="9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2.75"/>
  <cols>
    <col min="1" max="2" width="3.42578125" bestFit="1" customWidth="1"/>
    <col min="3" max="3" width="15.42578125" bestFit="1" customWidth="1"/>
  </cols>
  <sheetData>
    <row r="1" spans="1:3">
      <c r="A1" s="86" t="s">
        <v>67</v>
      </c>
      <c r="B1" s="86" t="s">
        <v>18</v>
      </c>
      <c r="C1" s="85">
        <f>'Q2 (i)'!J45</f>
        <v>15797447.145746682</v>
      </c>
    </row>
    <row r="2" spans="1:3">
      <c r="A2" s="86"/>
      <c r="B2" s="86"/>
      <c r="C2" s="53"/>
    </row>
    <row r="3" spans="1:3">
      <c r="A3" s="86" t="s">
        <v>68</v>
      </c>
      <c r="B3" s="86" t="s">
        <v>18</v>
      </c>
      <c r="C3" s="85">
        <f>'Q2 (ii)'!H31</f>
        <v>802621.310557271</v>
      </c>
    </row>
    <row r="4" spans="1:3" ht="15.75">
      <c r="A4" s="84"/>
      <c r="B4" s="84"/>
      <c r="C4" s="53"/>
    </row>
    <row r="5" spans="1:3">
      <c r="A5" s="53" t="s">
        <v>69</v>
      </c>
      <c r="B5" s="53"/>
      <c r="C5" s="85">
        <f>'Q2 (iii)'!B4</f>
        <v>102323.80547255283</v>
      </c>
    </row>
    <row r="6" spans="1:3">
      <c r="A6" s="53"/>
      <c r="B6" s="53"/>
      <c r="C6" s="53"/>
    </row>
    <row r="7" spans="1:3">
      <c r="A7" s="53" t="s">
        <v>70</v>
      </c>
      <c r="B7" s="53"/>
      <c r="C7" s="53">
        <f>'Q2 (iv)'!L18</f>
        <v>2027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29"/>
  <sheetViews>
    <sheetView workbookViewId="0"/>
  </sheetViews>
  <sheetFormatPr defaultRowHeight="12.75"/>
  <cols>
    <col min="1" max="3" width="14.28515625" style="95" customWidth="1"/>
    <col min="4" max="4" width="17" style="95" customWidth="1"/>
    <col min="5" max="5" width="14.28515625" style="95" bestFit="1" customWidth="1"/>
    <col min="6" max="6" width="14.28515625" style="95" customWidth="1"/>
    <col min="7" max="7" width="15.28515625" style="95" bestFit="1" customWidth="1"/>
    <col min="8" max="11" width="14.28515625" style="95" bestFit="1" customWidth="1"/>
    <col min="12" max="12" width="15.28515625" style="95" bestFit="1" customWidth="1"/>
    <col min="13" max="13" width="9.140625" style="95"/>
    <col min="14" max="14" width="15.7109375" style="95" bestFit="1" customWidth="1"/>
    <col min="15" max="15" width="10.5703125" style="95" bestFit="1" customWidth="1"/>
    <col min="16" max="16384" width="9.140625" style="95"/>
  </cols>
  <sheetData>
    <row r="1" spans="1:14">
      <c r="A1" s="95" t="s">
        <v>51</v>
      </c>
      <c r="B1" s="117">
        <v>750000</v>
      </c>
      <c r="H1" s="118"/>
    </row>
    <row r="2" spans="1:14">
      <c r="A2" s="95" t="s">
        <v>53</v>
      </c>
      <c r="B2" s="119">
        <v>0.12</v>
      </c>
      <c r="C2" s="95" t="s">
        <v>54</v>
      </c>
      <c r="D2" s="95">
        <v>10</v>
      </c>
      <c r="E2" s="95" t="s">
        <v>55</v>
      </c>
    </row>
    <row r="3" spans="1:14">
      <c r="B3" s="118">
        <v>0.14000000000000001</v>
      </c>
      <c r="C3" s="95" t="s">
        <v>54</v>
      </c>
      <c r="D3" s="95">
        <f>20-D2</f>
        <v>10</v>
      </c>
      <c r="E3" s="95" t="s">
        <v>55</v>
      </c>
    </row>
    <row r="4" spans="1:14" ht="15">
      <c r="A4" s="95" t="s">
        <v>57</v>
      </c>
      <c r="D4" s="120"/>
      <c r="E4" s="94"/>
      <c r="F4" s="94"/>
    </row>
    <row r="5" spans="1:14" ht="15">
      <c r="D5" s="120"/>
      <c r="E5" s="94"/>
      <c r="F5" s="94"/>
    </row>
    <row r="6" spans="1:14" ht="15">
      <c r="A6" s="95" t="s">
        <v>58</v>
      </c>
      <c r="B6" s="121">
        <f>B2/(LN(1+B2))</f>
        <v>1.0588669556602053</v>
      </c>
      <c r="C6" s="94">
        <v>2</v>
      </c>
      <c r="F6" s="94"/>
    </row>
    <row r="7" spans="1:14" ht="15.75" thickBot="1">
      <c r="A7" s="95" t="s">
        <v>74</v>
      </c>
      <c r="B7" s="121">
        <f>B3/(LN(1+B3))</f>
        <v>1.0684717741716563</v>
      </c>
      <c r="C7" s="94"/>
      <c r="F7" s="94"/>
    </row>
    <row r="8" spans="1:14" ht="39" thickBot="1">
      <c r="A8" s="122" t="s">
        <v>28</v>
      </c>
      <c r="B8" s="99" t="s">
        <v>51</v>
      </c>
      <c r="C8" s="99" t="s">
        <v>102</v>
      </c>
      <c r="D8" s="123" t="s">
        <v>59</v>
      </c>
      <c r="E8" s="98" t="s">
        <v>60</v>
      </c>
      <c r="F8" s="100" t="s">
        <v>103</v>
      </c>
      <c r="G8" s="99" t="s">
        <v>61</v>
      </c>
      <c r="H8" s="100" t="s">
        <v>57</v>
      </c>
      <c r="I8" s="100" t="s">
        <v>62</v>
      </c>
      <c r="J8" s="101" t="s">
        <v>63</v>
      </c>
      <c r="K8" s="100" t="s">
        <v>64</v>
      </c>
      <c r="L8" s="123" t="s">
        <v>65</v>
      </c>
      <c r="M8" s="116"/>
      <c r="N8" s="116"/>
    </row>
    <row r="9" spans="1:14">
      <c r="A9" s="124">
        <v>1</v>
      </c>
      <c r="B9" s="125">
        <f>B1</f>
        <v>750000</v>
      </c>
      <c r="C9" s="135">
        <f>'Q2 (ii)'!H31</f>
        <v>802621.310557271</v>
      </c>
      <c r="D9" s="127">
        <f>'Q2 (ii)'!E6</f>
        <v>70000</v>
      </c>
      <c r="E9" s="102">
        <f t="shared" ref="E9:E18" si="0">D9*$B$6</f>
        <v>74120.686896214364</v>
      </c>
      <c r="F9" s="104">
        <f t="shared" ref="F9:F18" si="1">(B9-C9)*(1+$B$2)+E9</f>
        <v>15184.81907207083</v>
      </c>
      <c r="G9" s="103">
        <f>B1</f>
        <v>750000</v>
      </c>
      <c r="H9" s="104">
        <f>F9</f>
        <v>15184.81907207083</v>
      </c>
      <c r="I9" s="104">
        <f t="shared" ref="I9:I18" si="2">IF(A9&lt;=$D$2,G9*$B$2,G9*$B$3)</f>
        <v>90000</v>
      </c>
      <c r="J9" s="105">
        <f>MIN(H9,I9)</f>
        <v>15184.81907207083</v>
      </c>
      <c r="K9" s="104">
        <f>H9-I9</f>
        <v>-74815.180927929177</v>
      </c>
      <c r="L9" s="128">
        <f>G9-K9</f>
        <v>824815.18092792924</v>
      </c>
    </row>
    <row r="10" spans="1:14">
      <c r="A10" s="124">
        <v>2</v>
      </c>
      <c r="B10" s="126"/>
      <c r="C10" s="126"/>
      <c r="D10" s="129">
        <f>'Q2 (ii)'!E7</f>
        <v>70000</v>
      </c>
      <c r="E10" s="106">
        <f t="shared" si="0"/>
        <v>74120.686896214364</v>
      </c>
      <c r="F10" s="104">
        <f t="shared" si="1"/>
        <v>74120.686896214364</v>
      </c>
      <c r="G10" s="103">
        <f t="shared" ref="G10:G18" si="3">L9</f>
        <v>824815.18092792924</v>
      </c>
      <c r="H10" s="104">
        <f t="shared" ref="H10:H18" si="4">E10</f>
        <v>74120.686896214364</v>
      </c>
      <c r="I10" s="104">
        <f t="shared" si="2"/>
        <v>98977.821711351498</v>
      </c>
      <c r="J10" s="105">
        <f t="shared" ref="J10:J18" si="5">MIN(H10,I10)</f>
        <v>74120.686896214364</v>
      </c>
      <c r="K10" s="104">
        <f t="shared" ref="K10:K18" si="6">H10-I10</f>
        <v>-24857.134815137135</v>
      </c>
      <c r="L10" s="128">
        <f t="shared" ref="L10:L18" si="7">G10-K10</f>
        <v>849672.31574306637</v>
      </c>
    </row>
    <row r="11" spans="1:14">
      <c r="A11" s="124">
        <v>3</v>
      </c>
      <c r="B11" s="126"/>
      <c r="C11" s="126"/>
      <c r="D11" s="129">
        <f>'Q2 (ii)'!E8</f>
        <v>100800</v>
      </c>
      <c r="E11" s="106">
        <f t="shared" si="0"/>
        <v>106733.7891305487</v>
      </c>
      <c r="F11" s="104">
        <f t="shared" si="1"/>
        <v>106733.7891305487</v>
      </c>
      <c r="G11" s="103">
        <f t="shared" si="3"/>
        <v>849672.31574306637</v>
      </c>
      <c r="H11" s="104">
        <f t="shared" si="4"/>
        <v>106733.7891305487</v>
      </c>
      <c r="I11" s="104">
        <f t="shared" si="2"/>
        <v>101960.67788916796</v>
      </c>
      <c r="J11" s="105">
        <f t="shared" si="5"/>
        <v>101960.67788916796</v>
      </c>
      <c r="K11" s="104">
        <f t="shared" si="6"/>
        <v>4773.1112413807423</v>
      </c>
      <c r="L11" s="128">
        <f t="shared" si="7"/>
        <v>844899.20450168569</v>
      </c>
    </row>
    <row r="12" spans="1:14">
      <c r="A12" s="124">
        <v>4</v>
      </c>
      <c r="B12" s="126"/>
      <c r="C12" s="126"/>
      <c r="D12" s="129">
        <f>'Q2 (ii)'!E9</f>
        <v>100800</v>
      </c>
      <c r="E12" s="106">
        <f t="shared" si="0"/>
        <v>106733.7891305487</v>
      </c>
      <c r="F12" s="104">
        <f t="shared" si="1"/>
        <v>106733.7891305487</v>
      </c>
      <c r="G12" s="103">
        <f t="shared" si="3"/>
        <v>844899.20450168569</v>
      </c>
      <c r="H12" s="104">
        <f t="shared" si="4"/>
        <v>106733.7891305487</v>
      </c>
      <c r="I12" s="104">
        <f t="shared" si="2"/>
        <v>101387.90454020227</v>
      </c>
      <c r="J12" s="105">
        <f t="shared" si="5"/>
        <v>101387.90454020227</v>
      </c>
      <c r="K12" s="104">
        <f t="shared" si="6"/>
        <v>5345.8845903464244</v>
      </c>
      <c r="L12" s="128">
        <f t="shared" si="7"/>
        <v>839553.31991133932</v>
      </c>
    </row>
    <row r="13" spans="1:14">
      <c r="A13" s="124">
        <v>5</v>
      </c>
      <c r="B13" s="126"/>
      <c r="C13" s="126"/>
      <c r="D13" s="129">
        <f>'Q2 (ii)'!E10</f>
        <v>145152</v>
      </c>
      <c r="E13" s="106">
        <f t="shared" si="0"/>
        <v>153696.65634799012</v>
      </c>
      <c r="F13" s="104">
        <f t="shared" si="1"/>
        <v>153696.65634799012</v>
      </c>
      <c r="G13" s="103">
        <f t="shared" si="3"/>
        <v>839553.31991133932</v>
      </c>
      <c r="H13" s="104">
        <f t="shared" si="4"/>
        <v>153696.65634799012</v>
      </c>
      <c r="I13" s="104">
        <f t="shared" si="2"/>
        <v>100746.39838936072</v>
      </c>
      <c r="J13" s="105">
        <f t="shared" si="5"/>
        <v>100746.39838936072</v>
      </c>
      <c r="K13" s="104">
        <f t="shared" si="6"/>
        <v>52950.257958629401</v>
      </c>
      <c r="L13" s="128">
        <f t="shared" si="7"/>
        <v>786603.06195270992</v>
      </c>
    </row>
    <row r="14" spans="1:14">
      <c r="A14" s="124">
        <v>6</v>
      </c>
      <c r="B14" s="126"/>
      <c r="C14" s="126"/>
      <c r="D14" s="129">
        <f>'Q2 (ii)'!E11</f>
        <v>145152</v>
      </c>
      <c r="E14" s="106">
        <f t="shared" si="0"/>
        <v>153696.65634799012</v>
      </c>
      <c r="F14" s="104">
        <f t="shared" si="1"/>
        <v>153696.65634799012</v>
      </c>
      <c r="G14" s="103">
        <f t="shared" si="3"/>
        <v>786603.06195270992</v>
      </c>
      <c r="H14" s="104">
        <f t="shared" si="4"/>
        <v>153696.65634799012</v>
      </c>
      <c r="I14" s="104">
        <f t="shared" si="2"/>
        <v>94392.367434325191</v>
      </c>
      <c r="J14" s="105">
        <f t="shared" si="5"/>
        <v>94392.367434325191</v>
      </c>
      <c r="K14" s="104">
        <f t="shared" si="6"/>
        <v>59304.288913664932</v>
      </c>
      <c r="L14" s="128">
        <f t="shared" si="7"/>
        <v>727298.77303904505</v>
      </c>
    </row>
    <row r="15" spans="1:14">
      <c r="A15" s="124">
        <v>7</v>
      </c>
      <c r="B15" s="126"/>
      <c r="C15" s="126"/>
      <c r="D15" s="129">
        <f>'Q2 (ii)'!E12</f>
        <v>209018.88</v>
      </c>
      <c r="E15" s="106">
        <f t="shared" si="0"/>
        <v>221323.18514110579</v>
      </c>
      <c r="F15" s="104">
        <f t="shared" si="1"/>
        <v>221323.18514110579</v>
      </c>
      <c r="G15" s="103">
        <f t="shared" si="3"/>
        <v>727298.77303904505</v>
      </c>
      <c r="H15" s="104">
        <f t="shared" si="4"/>
        <v>221323.18514110579</v>
      </c>
      <c r="I15" s="104">
        <f t="shared" si="2"/>
        <v>87275.852764685405</v>
      </c>
      <c r="J15" s="105">
        <f t="shared" si="5"/>
        <v>87275.852764685405</v>
      </c>
      <c r="K15" s="104">
        <f t="shared" si="6"/>
        <v>134047.33237642038</v>
      </c>
      <c r="L15" s="128">
        <f t="shared" si="7"/>
        <v>593251.44066262466</v>
      </c>
    </row>
    <row r="16" spans="1:14">
      <c r="A16" s="124">
        <v>8</v>
      </c>
      <c r="B16" s="126"/>
      <c r="C16" s="126"/>
      <c r="D16" s="129">
        <f>'Q2 (ii)'!E13</f>
        <v>209018.88</v>
      </c>
      <c r="E16" s="106">
        <f t="shared" si="0"/>
        <v>221323.18514110579</v>
      </c>
      <c r="F16" s="104">
        <f t="shared" si="1"/>
        <v>221323.18514110579</v>
      </c>
      <c r="G16" s="103">
        <f t="shared" si="3"/>
        <v>593251.44066262466</v>
      </c>
      <c r="H16" s="104">
        <f t="shared" si="4"/>
        <v>221323.18514110579</v>
      </c>
      <c r="I16" s="104">
        <f t="shared" si="2"/>
        <v>71190.172879514954</v>
      </c>
      <c r="J16" s="105">
        <f t="shared" si="5"/>
        <v>71190.172879514954</v>
      </c>
      <c r="K16" s="104">
        <f t="shared" si="6"/>
        <v>150133.01226159083</v>
      </c>
      <c r="L16" s="128">
        <f t="shared" si="7"/>
        <v>443118.42840103386</v>
      </c>
    </row>
    <row r="17" spans="1:16">
      <c r="A17" s="124">
        <v>9</v>
      </c>
      <c r="B17" s="126"/>
      <c r="C17" s="126"/>
      <c r="D17" s="129">
        <f>'Q2 (ii)'!E14</f>
        <v>300987.18719999999</v>
      </c>
      <c r="E17" s="106">
        <f t="shared" si="0"/>
        <v>318705.38660319231</v>
      </c>
      <c r="F17" s="104">
        <f t="shared" si="1"/>
        <v>318705.38660319231</v>
      </c>
      <c r="G17" s="103">
        <f t="shared" si="3"/>
        <v>443118.42840103386</v>
      </c>
      <c r="H17" s="104">
        <f t="shared" si="4"/>
        <v>318705.38660319231</v>
      </c>
      <c r="I17" s="104">
        <f t="shared" si="2"/>
        <v>53174.211408124058</v>
      </c>
      <c r="J17" s="105">
        <f t="shared" si="5"/>
        <v>53174.211408124058</v>
      </c>
      <c r="K17" s="104">
        <f t="shared" si="6"/>
        <v>265531.17519506824</v>
      </c>
      <c r="L17" s="128">
        <f t="shared" si="7"/>
        <v>177587.25320596562</v>
      </c>
    </row>
    <row r="18" spans="1:16" ht="15">
      <c r="A18" s="124">
        <v>10</v>
      </c>
      <c r="B18" s="126"/>
      <c r="C18" s="126"/>
      <c r="D18" s="129">
        <f>'Q2 (ii)'!E15</f>
        <v>300987.18719999999</v>
      </c>
      <c r="E18" s="106">
        <f t="shared" si="0"/>
        <v>318705.38660319231</v>
      </c>
      <c r="F18" s="104">
        <f t="shared" si="1"/>
        <v>318705.38660319231</v>
      </c>
      <c r="G18" s="103">
        <f t="shared" si="3"/>
        <v>177587.25320596562</v>
      </c>
      <c r="H18" s="104">
        <f t="shared" si="4"/>
        <v>318705.38660319231</v>
      </c>
      <c r="I18" s="104">
        <f t="shared" si="2"/>
        <v>21310.470384715874</v>
      </c>
      <c r="J18" s="105">
        <f t="shared" si="5"/>
        <v>21310.470384715874</v>
      </c>
      <c r="K18" s="104">
        <f t="shared" si="6"/>
        <v>297394.91621847643</v>
      </c>
      <c r="L18" s="128">
        <f t="shared" si="7"/>
        <v>-119807.66301251081</v>
      </c>
      <c r="N18" s="95" t="s">
        <v>66</v>
      </c>
      <c r="O18" s="130">
        <f>ROW(L18)-ROW($A$8)+2017</f>
        <v>2027</v>
      </c>
      <c r="P18" s="94">
        <v>3</v>
      </c>
    </row>
    <row r="19" spans="1:16">
      <c r="A19" s="124">
        <v>11</v>
      </c>
      <c r="B19" s="126"/>
      <c r="C19" s="126"/>
      <c r="D19" s="129">
        <f>'Q2 (ii)'!E16</f>
        <v>433421.54956799996</v>
      </c>
      <c r="E19" s="106">
        <f t="shared" ref="E19:E28" si="8">D19*$B$7</f>
        <v>463098.6920311494</v>
      </c>
      <c r="F19" s="104">
        <f t="shared" ref="F19:F28" si="9">(B19-C19)*(1+$B$3)+E19</f>
        <v>463098.6920311494</v>
      </c>
      <c r="G19" s="103"/>
      <c r="H19" s="104"/>
      <c r="I19" s="104"/>
      <c r="J19" s="104"/>
      <c r="K19" s="104"/>
      <c r="L19" s="128"/>
    </row>
    <row r="20" spans="1:16">
      <c r="A20" s="124">
        <v>12</v>
      </c>
      <c r="B20" s="126"/>
      <c r="C20" s="126"/>
      <c r="D20" s="129">
        <f>'Q2 (ii)'!E17</f>
        <v>433421.54956799996</v>
      </c>
      <c r="E20" s="106">
        <f t="shared" si="8"/>
        <v>463098.6920311494</v>
      </c>
      <c r="F20" s="104">
        <f t="shared" si="9"/>
        <v>463098.6920311494</v>
      </c>
      <c r="G20" s="103"/>
      <c r="H20" s="104"/>
      <c r="I20" s="104"/>
      <c r="J20" s="104"/>
      <c r="K20" s="104"/>
      <c r="L20" s="128"/>
    </row>
    <row r="21" spans="1:16">
      <c r="A21" s="124">
        <v>13</v>
      </c>
      <c r="B21" s="126"/>
      <c r="C21" s="126"/>
      <c r="D21" s="129">
        <f>'Q2 (ii)'!E18</f>
        <v>624127.03137791995</v>
      </c>
      <c r="E21" s="106">
        <f t="shared" si="8"/>
        <v>666862.11652485514</v>
      </c>
      <c r="F21" s="104">
        <f t="shared" si="9"/>
        <v>666862.11652485514</v>
      </c>
      <c r="G21" s="103"/>
      <c r="H21" s="104"/>
      <c r="I21" s="104"/>
      <c r="J21" s="104"/>
      <c r="K21" s="104"/>
      <c r="L21" s="128"/>
    </row>
    <row r="22" spans="1:16">
      <c r="A22" s="124">
        <v>14</v>
      </c>
      <c r="B22" s="126"/>
      <c r="C22" s="126"/>
      <c r="D22" s="129">
        <f>'Q2 (ii)'!E19</f>
        <v>624127.03137791995</v>
      </c>
      <c r="E22" s="106">
        <f t="shared" si="8"/>
        <v>666862.11652485514</v>
      </c>
      <c r="F22" s="104">
        <f t="shared" si="9"/>
        <v>666862.11652485514</v>
      </c>
      <c r="G22" s="103"/>
      <c r="H22" s="104"/>
      <c r="I22" s="104"/>
      <c r="J22" s="104"/>
      <c r="K22" s="104"/>
      <c r="L22" s="128"/>
    </row>
    <row r="23" spans="1:16">
      <c r="A23" s="124">
        <v>15</v>
      </c>
      <c r="B23" s="126"/>
      <c r="C23" s="126"/>
      <c r="D23" s="129">
        <f>'Q2 (ii)'!E20</f>
        <v>898742.92518420471</v>
      </c>
      <c r="E23" s="106">
        <f t="shared" si="8"/>
        <v>960281.44779579132</v>
      </c>
      <c r="F23" s="104">
        <f t="shared" si="9"/>
        <v>960281.44779579132</v>
      </c>
      <c r="G23" s="103"/>
      <c r="H23" s="104"/>
      <c r="I23" s="104"/>
      <c r="J23" s="104"/>
      <c r="K23" s="104"/>
      <c r="L23" s="128"/>
    </row>
    <row r="24" spans="1:16">
      <c r="A24" s="124">
        <v>16</v>
      </c>
      <c r="B24" s="126"/>
      <c r="C24" s="126"/>
      <c r="D24" s="129">
        <f>'Q2 (ii)'!E21</f>
        <v>898742.92518420471</v>
      </c>
      <c r="E24" s="106">
        <f t="shared" si="8"/>
        <v>960281.44779579132</v>
      </c>
      <c r="F24" s="104">
        <f t="shared" si="9"/>
        <v>960281.44779579132</v>
      </c>
      <c r="G24" s="103"/>
      <c r="H24" s="104"/>
      <c r="I24" s="104"/>
      <c r="J24" s="104"/>
      <c r="K24" s="104"/>
      <c r="L24" s="128"/>
    </row>
    <row r="25" spans="1:16">
      <c r="A25" s="124">
        <v>17</v>
      </c>
      <c r="B25" s="126"/>
      <c r="C25" s="126"/>
      <c r="D25" s="129">
        <f>'Q2 (ii)'!E22</f>
        <v>1294189.8122652548</v>
      </c>
      <c r="E25" s="106">
        <f t="shared" si="8"/>
        <v>1382805.2848259395</v>
      </c>
      <c r="F25" s="104">
        <f t="shared" si="9"/>
        <v>1382805.2848259395</v>
      </c>
      <c r="G25" s="103"/>
      <c r="H25" s="104"/>
      <c r="I25" s="104"/>
      <c r="J25" s="104"/>
      <c r="K25" s="104"/>
      <c r="L25" s="128"/>
    </row>
    <row r="26" spans="1:16">
      <c r="A26" s="124">
        <v>18</v>
      </c>
      <c r="B26" s="126"/>
      <c r="C26" s="126"/>
      <c r="D26" s="129">
        <f>'Q2 (ii)'!E23</f>
        <v>1294189.8122652548</v>
      </c>
      <c r="E26" s="106">
        <f t="shared" si="8"/>
        <v>1382805.2848259395</v>
      </c>
      <c r="F26" s="104">
        <f t="shared" si="9"/>
        <v>1382805.2848259395</v>
      </c>
      <c r="G26" s="103"/>
      <c r="H26" s="104"/>
      <c r="I26" s="104"/>
      <c r="J26" s="104"/>
      <c r="K26" s="104"/>
      <c r="L26" s="128"/>
    </row>
    <row r="27" spans="1:16">
      <c r="A27" s="124">
        <v>19</v>
      </c>
      <c r="B27" s="126"/>
      <c r="C27" s="126"/>
      <c r="D27" s="129">
        <f>'Q2 (ii)'!E24</f>
        <v>1863633.3296619668</v>
      </c>
      <c r="E27" s="106">
        <f t="shared" si="8"/>
        <v>1991239.6101493528</v>
      </c>
      <c r="F27" s="104">
        <f t="shared" si="9"/>
        <v>1991239.6101493528</v>
      </c>
      <c r="G27" s="103"/>
      <c r="H27" s="104"/>
      <c r="I27" s="104"/>
      <c r="J27" s="104"/>
      <c r="K27" s="104"/>
      <c r="L27" s="128"/>
    </row>
    <row r="28" spans="1:16" ht="13.5" thickBot="1">
      <c r="A28" s="131">
        <v>20</v>
      </c>
      <c r="B28" s="132"/>
      <c r="C28" s="132"/>
      <c r="D28" s="133">
        <f>'Q2 (ii)'!E25</f>
        <v>1863633.3296619668</v>
      </c>
      <c r="E28" s="107">
        <f t="shared" si="8"/>
        <v>1991239.6101493528</v>
      </c>
      <c r="F28" s="107">
        <f t="shared" si="9"/>
        <v>1991239.6101493528</v>
      </c>
      <c r="G28" s="108"/>
      <c r="H28" s="109"/>
      <c r="I28" s="109"/>
      <c r="J28" s="109"/>
      <c r="K28" s="109"/>
      <c r="L28" s="134"/>
    </row>
    <row r="29" spans="1:16" ht="15">
      <c r="E29" s="94"/>
      <c r="F29" s="94">
        <v>2</v>
      </c>
      <c r="G29" s="94">
        <v>1</v>
      </c>
      <c r="H29" s="94">
        <v>2</v>
      </c>
      <c r="I29" s="94">
        <v>1</v>
      </c>
      <c r="J29" s="94">
        <v>1</v>
      </c>
      <c r="K29" s="59">
        <v>2</v>
      </c>
      <c r="L29" s="5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8"/>
  <sheetViews>
    <sheetView zoomScale="90" zoomScaleNormal="90" workbookViewId="0">
      <pane ySplit="3" topLeftCell="A4" activePane="bottomLeft" state="frozen"/>
      <selection pane="bottomLeft" activeCell="N4" sqref="N4"/>
    </sheetView>
  </sheetViews>
  <sheetFormatPr defaultRowHeight="12.75"/>
  <cols>
    <col min="1" max="1" width="7.140625" style="2" bestFit="1" customWidth="1"/>
    <col min="2" max="2" width="9.85546875" style="2" bestFit="1" customWidth="1"/>
    <col min="3" max="3" width="7.140625" style="2" bestFit="1" customWidth="1"/>
    <col min="4" max="4" width="9.85546875" style="2" bestFit="1" customWidth="1"/>
    <col min="5" max="5" width="9.85546875" style="2" customWidth="1"/>
    <col min="6" max="6" width="10.42578125" style="2" bestFit="1" customWidth="1"/>
    <col min="7" max="7" width="11" style="2" bestFit="1" customWidth="1"/>
    <col min="8" max="8" width="10.42578125" style="2" bestFit="1" customWidth="1"/>
    <col min="9" max="9" width="11.5703125" style="2" customWidth="1"/>
    <col min="10" max="10" width="9.140625" style="2"/>
    <col min="11" max="11" width="15.28515625" style="2" bestFit="1" customWidth="1"/>
    <col min="12" max="12" width="10.7109375" style="2" customWidth="1"/>
    <col min="13" max="13" width="9.140625" style="2"/>
    <col min="14" max="14" width="9.7109375" style="2" customWidth="1"/>
    <col min="15" max="16384" width="9.140625" style="2"/>
  </cols>
  <sheetData>
    <row r="1" spans="1:12" ht="37.5" customHeight="1">
      <c r="A1" s="136" t="s">
        <v>15</v>
      </c>
      <c r="B1" s="136"/>
      <c r="C1" s="136" t="s">
        <v>16</v>
      </c>
      <c r="D1" s="136"/>
      <c r="E1" s="54" t="s">
        <v>20</v>
      </c>
      <c r="F1" s="9" t="s">
        <v>2</v>
      </c>
      <c r="G1" s="10" t="s">
        <v>3</v>
      </c>
      <c r="H1" s="10" t="s">
        <v>4</v>
      </c>
      <c r="I1" s="10" t="s">
        <v>14</v>
      </c>
      <c r="J1" s="10" t="s">
        <v>5</v>
      </c>
      <c r="K1" s="10" t="s">
        <v>6</v>
      </c>
      <c r="L1" s="10" t="s">
        <v>7</v>
      </c>
    </row>
    <row r="2" spans="1:12">
      <c r="F2" s="6"/>
      <c r="J2" s="15">
        <v>0.05</v>
      </c>
      <c r="K2" s="16">
        <v>100000</v>
      </c>
      <c r="L2" s="19">
        <v>5000</v>
      </c>
    </row>
    <row r="3" spans="1:12" ht="19.5" customHeight="1">
      <c r="A3" s="1" t="s">
        <v>0</v>
      </c>
      <c r="B3" s="3" t="s">
        <v>1</v>
      </c>
      <c r="C3" s="1" t="s">
        <v>0</v>
      </c>
      <c r="D3" s="3" t="s">
        <v>1</v>
      </c>
      <c r="E3" s="114" t="s">
        <v>81</v>
      </c>
      <c r="F3" s="95" t="s">
        <v>82</v>
      </c>
      <c r="G3" s="95" t="s">
        <v>83</v>
      </c>
      <c r="H3" s="114" t="s">
        <v>84</v>
      </c>
      <c r="I3" s="114" t="s">
        <v>85</v>
      </c>
      <c r="K3" s="113" t="s">
        <v>86</v>
      </c>
    </row>
    <row r="4" spans="1:12">
      <c r="F4" s="8"/>
      <c r="G4" s="11"/>
      <c r="H4" s="5"/>
      <c r="I4" s="5"/>
    </row>
    <row r="5" spans="1:12">
      <c r="A5" s="1">
        <v>35</v>
      </c>
      <c r="B5" s="4">
        <v>2.055E-3</v>
      </c>
      <c r="C5" s="1">
        <v>30</v>
      </c>
      <c r="D5" s="4">
        <v>1.253E-3</v>
      </c>
      <c r="E5" s="55">
        <v>1</v>
      </c>
      <c r="F5" s="8">
        <f>(1-B5)</f>
        <v>0.99794499999999997</v>
      </c>
      <c r="G5" s="8">
        <f>(1-D5)</f>
        <v>0.99874700000000005</v>
      </c>
      <c r="H5" s="5">
        <f>(1-F5)</f>
        <v>2.055000000000029E-3</v>
      </c>
      <c r="I5" s="5">
        <f>B5</f>
        <v>2.055E-3</v>
      </c>
      <c r="J5" s="2">
        <f>(1+$J$2)^-(E5)</f>
        <v>0.95238095238095233</v>
      </c>
      <c r="K5" s="17">
        <f t="shared" ref="K5:K34" si="0">$K$2*I5*J5</f>
        <v>195.71428571428569</v>
      </c>
      <c r="L5" s="20">
        <f t="shared" ref="L5:L34" si="1">$L$2*G5*H5*J5</f>
        <v>9.773452785714424</v>
      </c>
    </row>
    <row r="6" spans="1:12">
      <c r="A6" s="1">
        <v>36</v>
      </c>
      <c r="B6" s="4">
        <v>2.2279999999999999E-3</v>
      </c>
      <c r="C6" s="1">
        <v>31</v>
      </c>
      <c r="D6" s="4">
        <v>1.351E-3</v>
      </c>
      <c r="E6" s="55">
        <v>2</v>
      </c>
      <c r="F6" s="8">
        <f t="shared" ref="F6:F34" si="2">F5*(1-B6)</f>
        <v>0.99572157853999999</v>
      </c>
      <c r="G6" s="8">
        <f t="shared" ref="G6:G34" si="3">G5*(1-D6)</f>
        <v>0.99739769280300006</v>
      </c>
      <c r="H6" s="5">
        <f t="shared" ref="H6:H34" si="4">(1-F6)</f>
        <v>4.2784214600000148E-3</v>
      </c>
      <c r="I6" s="5">
        <f t="shared" ref="I6:I34" si="5">F5*B6</f>
        <v>2.2234214600000001E-3</v>
      </c>
      <c r="J6" s="2">
        <f t="shared" ref="J6:J34" si="6">(1+$J$2)^-(E6)</f>
        <v>0.90702947845804982</v>
      </c>
      <c r="K6" s="17">
        <f t="shared" si="0"/>
        <v>201.67088072562359</v>
      </c>
      <c r="L6" s="20">
        <f t="shared" si="1"/>
        <v>19.352778653255591</v>
      </c>
    </row>
    <row r="7" spans="1:12">
      <c r="A7" s="1">
        <v>37</v>
      </c>
      <c r="B7" s="4">
        <v>2.4120000000000001E-3</v>
      </c>
      <c r="C7" s="1">
        <v>32</v>
      </c>
      <c r="D7" s="4">
        <v>1.451E-3</v>
      </c>
      <c r="E7" s="55">
        <v>3</v>
      </c>
      <c r="F7" s="8">
        <f t="shared" si="2"/>
        <v>0.99331989809256149</v>
      </c>
      <c r="G7" s="8">
        <f t="shared" si="3"/>
        <v>0.99595046875074289</v>
      </c>
      <c r="H7" s="5">
        <f t="shared" si="4"/>
        <v>6.6801019074385071E-3</v>
      </c>
      <c r="I7" s="5">
        <f t="shared" si="5"/>
        <v>2.4016804474384802E-3</v>
      </c>
      <c r="J7" s="2">
        <f t="shared" si="6"/>
        <v>0.86383759853147601</v>
      </c>
      <c r="K7" s="17">
        <f t="shared" si="0"/>
        <v>207.46618701552575</v>
      </c>
      <c r="L7" s="20">
        <f t="shared" si="1"/>
        <v>28.735776378430462</v>
      </c>
    </row>
    <row r="8" spans="1:12">
      <c r="A8" s="1">
        <v>38</v>
      </c>
      <c r="B8" s="4">
        <v>2.6050000000000001E-3</v>
      </c>
      <c r="C8" s="1">
        <v>33</v>
      </c>
      <c r="D8" s="4">
        <v>1.554E-3</v>
      </c>
      <c r="E8" s="55">
        <v>4</v>
      </c>
      <c r="F8" s="8">
        <f t="shared" si="2"/>
        <v>0.99073229975803045</v>
      </c>
      <c r="G8" s="8">
        <f t="shared" si="3"/>
        <v>0.99440276172230413</v>
      </c>
      <c r="H8" s="5">
        <f t="shared" si="4"/>
        <v>9.2677002419695453E-3</v>
      </c>
      <c r="I8" s="5">
        <f t="shared" si="5"/>
        <v>2.5875983345311228E-3</v>
      </c>
      <c r="J8" s="2">
        <f t="shared" si="6"/>
        <v>0.82270247479188197</v>
      </c>
      <c r="K8" s="17">
        <f t="shared" si="0"/>
        <v>212.88235535861068</v>
      </c>
      <c r="L8" s="20">
        <f t="shared" si="1"/>
        <v>37.909417230182818</v>
      </c>
    </row>
    <row r="9" spans="1:12">
      <c r="A9" s="1">
        <v>39</v>
      </c>
      <c r="B9" s="4">
        <v>2.8080000000000002E-3</v>
      </c>
      <c r="C9" s="1">
        <v>34</v>
      </c>
      <c r="D9" s="4">
        <v>1.6590000000000001E-3</v>
      </c>
      <c r="E9" s="55">
        <v>5</v>
      </c>
      <c r="F9" s="8">
        <f t="shared" si="2"/>
        <v>0.98795032346030986</v>
      </c>
      <c r="G9" s="8">
        <f t="shared" si="3"/>
        <v>0.99275304754060689</v>
      </c>
      <c r="H9" s="5">
        <f t="shared" si="4"/>
        <v>1.2049676539690135E-2</v>
      </c>
      <c r="I9" s="5">
        <f t="shared" si="5"/>
        <v>2.7819762977205498E-3</v>
      </c>
      <c r="J9" s="2">
        <f t="shared" si="6"/>
        <v>0.78352616646845896</v>
      </c>
      <c r="K9" s="17">
        <f t="shared" si="0"/>
        <v>217.97512237590988</v>
      </c>
      <c r="L9" s="20">
        <f t="shared" si="1"/>
        <v>46.864083358000933</v>
      </c>
    </row>
    <row r="10" spans="1:12">
      <c r="A10" s="1">
        <v>40</v>
      </c>
      <c r="B10" s="4">
        <v>3.0200000000000001E-3</v>
      </c>
      <c r="C10" s="1">
        <v>35</v>
      </c>
      <c r="D10" s="4">
        <v>1.766E-3</v>
      </c>
      <c r="E10" s="55">
        <v>6</v>
      </c>
      <c r="F10" s="8">
        <f t="shared" si="2"/>
        <v>0.98496671348345965</v>
      </c>
      <c r="G10" s="8">
        <f t="shared" si="3"/>
        <v>0.99099984565865018</v>
      </c>
      <c r="H10" s="5">
        <f t="shared" si="4"/>
        <v>1.5033286516540345E-2</v>
      </c>
      <c r="I10" s="5">
        <f t="shared" si="5"/>
        <v>2.9836099768501359E-3</v>
      </c>
      <c r="J10" s="2">
        <f t="shared" si="6"/>
        <v>0.74621539663662761</v>
      </c>
      <c r="K10" s="17">
        <f t="shared" si="0"/>
        <v>222.64157022842232</v>
      </c>
      <c r="L10" s="20">
        <f t="shared" si="1"/>
        <v>55.58552750266972</v>
      </c>
    </row>
    <row r="11" spans="1:12">
      <c r="A11" s="1">
        <v>41</v>
      </c>
      <c r="B11" s="4">
        <v>3.2420000000000001E-3</v>
      </c>
      <c r="C11" s="1">
        <v>36</v>
      </c>
      <c r="D11" s="4">
        <v>1.874E-3</v>
      </c>
      <c r="E11" s="55">
        <v>7</v>
      </c>
      <c r="F11" s="8">
        <f t="shared" si="2"/>
        <v>0.98177345139834626</v>
      </c>
      <c r="G11" s="8">
        <f t="shared" si="3"/>
        <v>0.98914271194788583</v>
      </c>
      <c r="H11" s="5">
        <f t="shared" si="4"/>
        <v>1.8226548601653736E-2</v>
      </c>
      <c r="I11" s="5">
        <f t="shared" si="5"/>
        <v>3.1932620851133761E-3</v>
      </c>
      <c r="J11" s="2">
        <f t="shared" si="6"/>
        <v>0.71068133013012147</v>
      </c>
      <c r="K11" s="17">
        <f t="shared" si="0"/>
        <v>226.93917461024591</v>
      </c>
      <c r="L11" s="20">
        <f t="shared" si="1"/>
        <v>64.063152220707067</v>
      </c>
    </row>
    <row r="12" spans="1:12">
      <c r="A12" s="1">
        <v>42</v>
      </c>
      <c r="B12" s="4">
        <v>3.473E-3</v>
      </c>
      <c r="C12" s="1">
        <v>37</v>
      </c>
      <c r="D12" s="4">
        <v>1.9840000000000001E-3</v>
      </c>
      <c r="E12" s="55">
        <v>8</v>
      </c>
      <c r="F12" s="8">
        <f t="shared" si="2"/>
        <v>0.97836375220163985</v>
      </c>
      <c r="G12" s="8">
        <f t="shared" si="3"/>
        <v>0.9871802528073812</v>
      </c>
      <c r="H12" s="5">
        <f t="shared" si="4"/>
        <v>2.1636247798360153E-2</v>
      </c>
      <c r="I12" s="5">
        <f t="shared" si="5"/>
        <v>3.4096991967064567E-3</v>
      </c>
      <c r="J12" s="2">
        <f t="shared" si="6"/>
        <v>0.67683936202868722</v>
      </c>
      <c r="K12" s="17">
        <f t="shared" si="0"/>
        <v>230.78186290085253</v>
      </c>
      <c r="L12" s="20">
        <f t="shared" si="1"/>
        <v>72.282641961139717</v>
      </c>
    </row>
    <row r="13" spans="1:12">
      <c r="A13" s="1">
        <v>43</v>
      </c>
      <c r="B13" s="4">
        <v>3.7109999999999999E-3</v>
      </c>
      <c r="C13" s="1">
        <v>38</v>
      </c>
      <c r="D13" s="4">
        <v>2.0960000000000002E-3</v>
      </c>
      <c r="E13" s="55">
        <v>9</v>
      </c>
      <c r="F13" s="8">
        <f t="shared" si="2"/>
        <v>0.97473304431721952</v>
      </c>
      <c r="G13" s="8">
        <f t="shared" si="3"/>
        <v>0.98511112299749692</v>
      </c>
      <c r="H13" s="5">
        <f t="shared" si="4"/>
        <v>2.5266955682780479E-2</v>
      </c>
      <c r="I13" s="5">
        <f t="shared" si="5"/>
        <v>3.6307078844202852E-3</v>
      </c>
      <c r="J13" s="2">
        <f t="shared" si="6"/>
        <v>0.64460891621779726</v>
      </c>
      <c r="K13" s="17">
        <f t="shared" si="0"/>
        <v>234.03866744795715</v>
      </c>
      <c r="L13" s="20">
        <f t="shared" si="1"/>
        <v>80.224026195809799</v>
      </c>
    </row>
    <row r="14" spans="1:12">
      <c r="A14" s="1">
        <v>44</v>
      </c>
      <c r="B14" s="4">
        <v>3.9569999999999996E-3</v>
      </c>
      <c r="C14" s="1">
        <v>39</v>
      </c>
      <c r="D14" s="4">
        <v>2.2079999999999999E-3</v>
      </c>
      <c r="E14" s="55">
        <v>10</v>
      </c>
      <c r="F14" s="8">
        <f t="shared" si="2"/>
        <v>0.97087602566085629</v>
      </c>
      <c r="G14" s="8">
        <f t="shared" si="3"/>
        <v>0.9829359976379185</v>
      </c>
      <c r="H14" s="5">
        <f t="shared" si="4"/>
        <v>2.912397433914371E-2</v>
      </c>
      <c r="I14" s="5">
        <f t="shared" si="5"/>
        <v>3.8570186563632375E-3</v>
      </c>
      <c r="J14" s="2">
        <f t="shared" si="6"/>
        <v>0.61391325354075932</v>
      </c>
      <c r="K14" s="17">
        <f t="shared" si="0"/>
        <v>236.78748722953631</v>
      </c>
      <c r="L14" s="20">
        <f t="shared" si="1"/>
        <v>87.872482055092178</v>
      </c>
    </row>
    <row r="15" spans="1:12">
      <c r="A15" s="1">
        <v>45</v>
      </c>
      <c r="B15" s="4">
        <v>4.2100000000000002E-3</v>
      </c>
      <c r="C15" s="1">
        <v>40</v>
      </c>
      <c r="D15" s="4">
        <v>2.3210000000000001E-3</v>
      </c>
      <c r="E15" s="55">
        <v>11</v>
      </c>
      <c r="F15" s="8">
        <f t="shared" si="2"/>
        <v>0.96678863759282407</v>
      </c>
      <c r="G15" s="8">
        <f t="shared" si="3"/>
        <v>0.98065460318740083</v>
      </c>
      <c r="H15" s="5">
        <f t="shared" si="4"/>
        <v>3.3211362407175926E-2</v>
      </c>
      <c r="I15" s="5">
        <f t="shared" si="5"/>
        <v>4.0873880680322048E-3</v>
      </c>
      <c r="J15" s="2">
        <f t="shared" si="6"/>
        <v>0.5846792890864374</v>
      </c>
      <c r="K15" s="17">
        <f t="shared" si="0"/>
        <v>238.98111498374564</v>
      </c>
      <c r="L15" s="20">
        <f t="shared" si="1"/>
        <v>95.211734642509413</v>
      </c>
    </row>
    <row r="16" spans="1:12">
      <c r="A16" s="1">
        <v>46</v>
      </c>
      <c r="B16" s="4">
        <v>4.4689999999999999E-3</v>
      </c>
      <c r="C16" s="1">
        <v>41</v>
      </c>
      <c r="D16" s="4">
        <v>2.4350000000000001E-3</v>
      </c>
      <c r="E16" s="55">
        <v>12</v>
      </c>
      <c r="F16" s="8">
        <f t="shared" si="2"/>
        <v>0.96246805917142175</v>
      </c>
      <c r="G16" s="8">
        <f t="shared" si="3"/>
        <v>0.97826670922863956</v>
      </c>
      <c r="H16" s="5">
        <f t="shared" si="4"/>
        <v>3.7531940828578247E-2</v>
      </c>
      <c r="I16" s="5">
        <f t="shared" si="5"/>
        <v>4.3205784214023308E-3</v>
      </c>
      <c r="J16" s="2">
        <f t="shared" si="6"/>
        <v>0.5568374181775595</v>
      </c>
      <c r="K16" s="17">
        <f t="shared" si="0"/>
        <v>240.58597332073498</v>
      </c>
      <c r="L16" s="20">
        <f t="shared" si="1"/>
        <v>102.22490439049974</v>
      </c>
    </row>
    <row r="17" spans="1:12">
      <c r="A17" s="1">
        <v>47</v>
      </c>
      <c r="B17" s="4">
        <v>4.7320000000000001E-3</v>
      </c>
      <c r="C17" s="1">
        <v>42</v>
      </c>
      <c r="D17" s="4">
        <v>2.5479999999999999E-3</v>
      </c>
      <c r="E17" s="55">
        <v>13</v>
      </c>
      <c r="F17" s="8">
        <f t="shared" si="2"/>
        <v>0.95791366031542258</v>
      </c>
      <c r="G17" s="8">
        <f t="shared" si="3"/>
        <v>0.97577408565352497</v>
      </c>
      <c r="H17" s="5">
        <f t="shared" si="4"/>
        <v>4.2086339684577423E-2</v>
      </c>
      <c r="I17" s="5">
        <f t="shared" si="5"/>
        <v>4.5543988559991677E-3</v>
      </c>
      <c r="J17" s="2">
        <f t="shared" si="6"/>
        <v>0.53032135064529462</v>
      </c>
      <c r="K17" s="17">
        <f t="shared" si="0"/>
        <v>241.52949526908631</v>
      </c>
      <c r="L17" s="20">
        <f t="shared" si="1"/>
        <v>108.89289715271582</v>
      </c>
    </row>
    <row r="18" spans="1:12">
      <c r="A18" s="1">
        <v>48</v>
      </c>
      <c r="B18" s="4">
        <v>5.0000000000000001E-3</v>
      </c>
      <c r="C18" s="1">
        <v>43</v>
      </c>
      <c r="D18" s="4">
        <v>2.6610000000000002E-3</v>
      </c>
      <c r="E18" s="55">
        <v>14</v>
      </c>
      <c r="F18" s="8">
        <f t="shared" si="2"/>
        <v>0.95312409201384551</v>
      </c>
      <c r="G18" s="8">
        <f t="shared" si="3"/>
        <v>0.97317755081160096</v>
      </c>
      <c r="H18" s="5">
        <f t="shared" si="4"/>
        <v>4.6875907986154486E-2</v>
      </c>
      <c r="I18" s="5">
        <f t="shared" si="5"/>
        <v>4.7895683015771132E-3</v>
      </c>
      <c r="J18" s="2">
        <f t="shared" si="6"/>
        <v>0.50506795299551888</v>
      </c>
      <c r="K18" s="17">
        <f t="shared" si="0"/>
        <v>241.90574578097767</v>
      </c>
      <c r="L18" s="20">
        <f t="shared" si="1"/>
        <v>115.2024174445025</v>
      </c>
    </row>
    <row r="19" spans="1:12">
      <c r="A19" s="1">
        <v>49</v>
      </c>
      <c r="B19" s="4">
        <v>5.2690000000000002E-3</v>
      </c>
      <c r="C19" s="1">
        <v>44</v>
      </c>
      <c r="D19" s="4">
        <v>2.774E-3</v>
      </c>
      <c r="E19" s="55">
        <v>15</v>
      </c>
      <c r="F19" s="8">
        <f t="shared" si="2"/>
        <v>0.94810208117302464</v>
      </c>
      <c r="G19" s="8">
        <f t="shared" si="3"/>
        <v>0.97047795628564948</v>
      </c>
      <c r="H19" s="5">
        <f t="shared" si="4"/>
        <v>5.1897918826975364E-2</v>
      </c>
      <c r="I19" s="5">
        <f t="shared" si="5"/>
        <v>5.0220108408209523E-3</v>
      </c>
      <c r="J19" s="2">
        <f t="shared" si="6"/>
        <v>0.48101709809097021</v>
      </c>
      <c r="K19" s="17">
        <f t="shared" si="0"/>
        <v>241.56730812330878</v>
      </c>
      <c r="L19" s="20">
        <f t="shared" si="1"/>
        <v>121.13402160180026</v>
      </c>
    </row>
    <row r="20" spans="1:12">
      <c r="A20" s="1">
        <v>50</v>
      </c>
      <c r="B20" s="4">
        <v>5.5409999999999999E-3</v>
      </c>
      <c r="C20" s="1">
        <v>45</v>
      </c>
      <c r="D20" s="4">
        <v>2.8869999999999998E-3</v>
      </c>
      <c r="E20" s="55">
        <v>16</v>
      </c>
      <c r="F20" s="8">
        <f t="shared" si="2"/>
        <v>0.94284864754124487</v>
      </c>
      <c r="G20" s="8">
        <f t="shared" si="3"/>
        <v>0.96767618642585285</v>
      </c>
      <c r="H20" s="5">
        <f t="shared" si="4"/>
        <v>5.7151352458755134E-2</v>
      </c>
      <c r="I20" s="5">
        <f t="shared" si="5"/>
        <v>5.2534336317797293E-3</v>
      </c>
      <c r="J20" s="2">
        <f t="shared" si="6"/>
        <v>0.45811152199140021</v>
      </c>
      <c r="K20" s="17">
        <f t="shared" si="0"/>
        <v>240.66584767354209</v>
      </c>
      <c r="L20" s="20">
        <f t="shared" si="1"/>
        <v>126.67700446630388</v>
      </c>
    </row>
    <row r="21" spans="1:12">
      <c r="A21" s="1">
        <v>51</v>
      </c>
      <c r="B21" s="4">
        <v>5.8120000000000003E-3</v>
      </c>
      <c r="C21" s="1">
        <v>46</v>
      </c>
      <c r="D21" s="4">
        <v>3.0119999999999999E-3</v>
      </c>
      <c r="E21" s="55">
        <v>17</v>
      </c>
      <c r="F21" s="8">
        <f t="shared" si="2"/>
        <v>0.9373688112017351</v>
      </c>
      <c r="G21" s="8">
        <f t="shared" si="3"/>
        <v>0.96476154575233819</v>
      </c>
      <c r="H21" s="5">
        <f t="shared" si="4"/>
        <v>6.2631188798264903E-2</v>
      </c>
      <c r="I21" s="5">
        <f t="shared" si="5"/>
        <v>5.4798363395097156E-3</v>
      </c>
      <c r="J21" s="2">
        <f t="shared" si="6"/>
        <v>0.43629668761085727</v>
      </c>
      <c r="K21" s="17">
        <f>$K$2*I21*J21</f>
        <v>239.08344435776939</v>
      </c>
      <c r="L21" s="20">
        <f t="shared" si="1"/>
        <v>131.81430978983542</v>
      </c>
    </row>
    <row r="22" spans="1:12">
      <c r="A22" s="1">
        <v>52</v>
      </c>
      <c r="B22" s="4">
        <v>6.0819999999999997E-3</v>
      </c>
      <c r="C22" s="1">
        <v>47</v>
      </c>
      <c r="D22" s="4">
        <v>3.15E-3</v>
      </c>
      <c r="E22" s="55">
        <v>18</v>
      </c>
      <c r="F22" s="8">
        <f t="shared" si="2"/>
        <v>0.93166773409200609</v>
      </c>
      <c r="G22" s="8">
        <f t="shared" si="3"/>
        <v>0.96172254688321834</v>
      </c>
      <c r="H22" s="5">
        <f t="shared" si="4"/>
        <v>6.8332265907993905E-2</v>
      </c>
      <c r="I22" s="5">
        <f t="shared" si="5"/>
        <v>5.7010771097289522E-3</v>
      </c>
      <c r="J22" s="2">
        <f t="shared" si="6"/>
        <v>0.41552065486748313</v>
      </c>
      <c r="K22" s="17">
        <f t="shared" si="0"/>
        <v>236.89152940845923</v>
      </c>
      <c r="L22" s="20">
        <f t="shared" si="1"/>
        <v>136.53319121560017</v>
      </c>
    </row>
    <row r="23" spans="1:12">
      <c r="A23" s="1">
        <v>53</v>
      </c>
      <c r="B23" s="4">
        <v>6.3489999999999996E-3</v>
      </c>
      <c r="C23" s="1">
        <v>48</v>
      </c>
      <c r="D23" s="4">
        <v>3.3050000000000002E-3</v>
      </c>
      <c r="E23" s="55">
        <v>19</v>
      </c>
      <c r="F23" s="8">
        <f t="shared" si="2"/>
        <v>0.92575257564825586</v>
      </c>
      <c r="G23" s="8">
        <f t="shared" si="3"/>
        <v>0.95854405386576935</v>
      </c>
      <c r="H23" s="5">
        <f t="shared" si="4"/>
        <v>7.424742435174414E-2</v>
      </c>
      <c r="I23" s="5">
        <f t="shared" si="5"/>
        <v>5.9151584437501462E-3</v>
      </c>
      <c r="J23" s="2">
        <f t="shared" si="6"/>
        <v>0.39573395701665059</v>
      </c>
      <c r="K23" s="17">
        <f t="shared" si="0"/>
        <v>234.0829057325698</v>
      </c>
      <c r="L23" s="20">
        <f t="shared" si="1"/>
        <v>140.82079507830051</v>
      </c>
    </row>
    <row r="24" spans="1:12">
      <c r="A24" s="1">
        <v>54</v>
      </c>
      <c r="B24" s="4">
        <v>6.6119999999999998E-3</v>
      </c>
      <c r="C24" s="1">
        <v>49</v>
      </c>
      <c r="D24" s="4">
        <v>3.4780000000000002E-3</v>
      </c>
      <c r="E24" s="55">
        <v>20</v>
      </c>
      <c r="F24" s="8">
        <f t="shared" si="2"/>
        <v>0.91963149961806967</v>
      </c>
      <c r="G24" s="8">
        <f t="shared" si="3"/>
        <v>0.95521023764642421</v>
      </c>
      <c r="H24" s="5">
        <f t="shared" si="4"/>
        <v>8.036850038193033E-2</v>
      </c>
      <c r="I24" s="5">
        <f t="shared" si="5"/>
        <v>6.1210760301862671E-3</v>
      </c>
      <c r="J24" s="2">
        <f t="shared" si="6"/>
        <v>0.37688948287300061</v>
      </c>
      <c r="K24" s="17">
        <f t="shared" si="0"/>
        <v>230.69691796432218</v>
      </c>
      <c r="L24" s="20">
        <f t="shared" si="1"/>
        <v>144.66679370404805</v>
      </c>
    </row>
    <row r="25" spans="1:12">
      <c r="A25" s="1">
        <v>55</v>
      </c>
      <c r="B25" s="4">
        <v>6.8789999999999997E-3</v>
      </c>
      <c r="C25" s="1">
        <v>50</v>
      </c>
      <c r="D25" s="4">
        <v>3.6719999999999999E-3</v>
      </c>
      <c r="E25" s="55">
        <v>21</v>
      </c>
      <c r="F25" s="8">
        <f t="shared" si="2"/>
        <v>0.91330535453219697</v>
      </c>
      <c r="G25" s="8">
        <f t="shared" si="3"/>
        <v>0.95170270565378656</v>
      </c>
      <c r="H25" s="5">
        <f t="shared" si="4"/>
        <v>8.6694645467803033E-2</v>
      </c>
      <c r="I25" s="5">
        <f t="shared" si="5"/>
        <v>6.3261450858727013E-3</v>
      </c>
      <c r="J25" s="2">
        <f t="shared" si="6"/>
        <v>0.35894236464095297</v>
      </c>
      <c r="K25" s="17">
        <f t="shared" si="0"/>
        <v>227.0721476184892</v>
      </c>
      <c r="L25" s="20">
        <f t="shared" si="1"/>
        <v>148.0772371848488</v>
      </c>
    </row>
    <row r="26" spans="1:12">
      <c r="A26" s="1">
        <v>56</v>
      </c>
      <c r="B26" s="4">
        <v>7.1929999999999997E-3</v>
      </c>
      <c r="C26" s="1">
        <v>51</v>
      </c>
      <c r="D26" s="4">
        <v>3.8869999999999998E-3</v>
      </c>
      <c r="E26" s="55">
        <v>22</v>
      </c>
      <c r="F26" s="8">
        <f t="shared" si="2"/>
        <v>0.90673594911704691</v>
      </c>
      <c r="G26" s="8">
        <f t="shared" si="3"/>
        <v>0.94800343723691027</v>
      </c>
      <c r="H26" s="5">
        <f t="shared" si="4"/>
        <v>9.3264050882953087E-2</v>
      </c>
      <c r="I26" s="5">
        <f t="shared" si="5"/>
        <v>6.5694054151500926E-3</v>
      </c>
      <c r="J26" s="2">
        <f t="shared" si="6"/>
        <v>0.3418498710866219</v>
      </c>
      <c r="K26" s="17">
        <f t="shared" si="0"/>
        <v>224.57503942848152</v>
      </c>
      <c r="L26" s="20">
        <f t="shared" si="1"/>
        <v>151.12266781137288</v>
      </c>
    </row>
    <row r="27" spans="1:12">
      <c r="A27" s="1">
        <v>57</v>
      </c>
      <c r="B27" s="4">
        <v>7.574E-3</v>
      </c>
      <c r="C27" s="1">
        <v>52</v>
      </c>
      <c r="D27" s="4">
        <v>4.1279999999999997E-3</v>
      </c>
      <c r="E27" s="55">
        <v>23</v>
      </c>
      <c r="F27" s="8">
        <f t="shared" si="2"/>
        <v>0.89986833103843444</v>
      </c>
      <c r="G27" s="8">
        <f t="shared" si="3"/>
        <v>0.94409007904799624</v>
      </c>
      <c r="H27" s="5">
        <f t="shared" si="4"/>
        <v>0.10013166896156556</v>
      </c>
      <c r="I27" s="5">
        <f t="shared" si="5"/>
        <v>6.867618078612513E-3</v>
      </c>
      <c r="J27" s="2">
        <f t="shared" si="6"/>
        <v>0.32557130579678267</v>
      </c>
      <c r="K27" s="17">
        <f t="shared" si="0"/>
        <v>223.58993855674677</v>
      </c>
      <c r="L27" s="20">
        <f t="shared" si="1"/>
        <v>153.88667446084011</v>
      </c>
    </row>
    <row r="28" spans="1:12">
      <c r="A28" s="1">
        <v>58</v>
      </c>
      <c r="B28" s="4">
        <v>8.0319999999999992E-3</v>
      </c>
      <c r="C28" s="1">
        <v>53</v>
      </c>
      <c r="D28" s="4">
        <v>4.3959999999999997E-3</v>
      </c>
      <c r="E28" s="55">
        <v>24</v>
      </c>
      <c r="F28" s="8">
        <f t="shared" si="2"/>
        <v>0.89264058860353368</v>
      </c>
      <c r="G28" s="8">
        <f t="shared" si="3"/>
        <v>0.93993985906050126</v>
      </c>
      <c r="H28" s="5">
        <f t="shared" si="4"/>
        <v>0.10735941139646632</v>
      </c>
      <c r="I28" s="5">
        <f t="shared" si="5"/>
        <v>7.2277424349007045E-3</v>
      </c>
      <c r="J28" s="2">
        <f t="shared" si="6"/>
        <v>0.31006791028265024</v>
      </c>
      <c r="K28" s="17">
        <f t="shared" si="0"/>
        <v>224.10909928508957</v>
      </c>
      <c r="L28" s="20">
        <f t="shared" si="1"/>
        <v>156.44691913115338</v>
      </c>
    </row>
    <row r="29" spans="1:12">
      <c r="A29" s="1">
        <v>59</v>
      </c>
      <c r="B29" s="4">
        <v>8.5800000000000008E-3</v>
      </c>
      <c r="C29" s="1">
        <v>54</v>
      </c>
      <c r="D29" s="4">
        <v>4.6959999999999997E-3</v>
      </c>
      <c r="E29" s="55">
        <v>25</v>
      </c>
      <c r="F29" s="8">
        <f t="shared" si="2"/>
        <v>0.88498173235331534</v>
      </c>
      <c r="G29" s="8">
        <f t="shared" si="3"/>
        <v>0.93552590148235315</v>
      </c>
      <c r="H29" s="5">
        <f t="shared" si="4"/>
        <v>0.11501826764668466</v>
      </c>
      <c r="I29" s="5">
        <f t="shared" si="5"/>
        <v>7.6588562502183195E-3</v>
      </c>
      <c r="J29" s="2">
        <f t="shared" si="6"/>
        <v>0.29530277169776209</v>
      </c>
      <c r="K29" s="17">
        <f t="shared" si="0"/>
        <v>226.16814787241987</v>
      </c>
      <c r="L29" s="20">
        <f t="shared" si="1"/>
        <v>158.87668363925985</v>
      </c>
    </row>
    <row r="30" spans="1:12">
      <c r="A30" s="1"/>
      <c r="B30" s="4"/>
      <c r="C30" s="1">
        <v>55</v>
      </c>
      <c r="D30" s="4">
        <v>5.0299999999999997E-3</v>
      </c>
      <c r="E30" s="55">
        <v>26</v>
      </c>
      <c r="F30" s="8">
        <f t="shared" si="2"/>
        <v>0.88498173235331534</v>
      </c>
      <c r="G30" s="8">
        <f t="shared" si="3"/>
        <v>0.93082020619789696</v>
      </c>
      <c r="H30" s="5">
        <f t="shared" si="4"/>
        <v>0.11501826764668466</v>
      </c>
      <c r="I30" s="5">
        <f t="shared" si="5"/>
        <v>0</v>
      </c>
      <c r="J30" s="2">
        <f t="shared" si="6"/>
        <v>0.28124073495024959</v>
      </c>
      <c r="K30" s="17">
        <f t="shared" si="0"/>
        <v>0</v>
      </c>
      <c r="L30" s="20">
        <f t="shared" si="1"/>
        <v>150.55003230528985</v>
      </c>
    </row>
    <row r="31" spans="1:12">
      <c r="A31" s="1"/>
      <c r="B31" s="4"/>
      <c r="C31" s="1">
        <v>56</v>
      </c>
      <c r="D31" s="4">
        <v>5.4029999999999998E-3</v>
      </c>
      <c r="E31" s="55">
        <v>27</v>
      </c>
      <c r="F31" s="8">
        <f t="shared" si="2"/>
        <v>0.88498173235331534</v>
      </c>
      <c r="G31" s="8">
        <f t="shared" si="3"/>
        <v>0.92579098462380971</v>
      </c>
      <c r="H31" s="5">
        <f t="shared" si="4"/>
        <v>0.11501826764668466</v>
      </c>
      <c r="I31" s="5">
        <f t="shared" si="5"/>
        <v>0</v>
      </c>
      <c r="J31" s="2">
        <f t="shared" si="6"/>
        <v>0.2678483190002377</v>
      </c>
      <c r="K31" s="17">
        <f t="shared" si="0"/>
        <v>0</v>
      </c>
      <c r="L31" s="20">
        <f t="shared" si="1"/>
        <v>142.60629569594704</v>
      </c>
    </row>
    <row r="32" spans="1:12">
      <c r="A32" s="1"/>
      <c r="B32" s="4"/>
      <c r="C32" s="1">
        <v>57</v>
      </c>
      <c r="D32" s="4">
        <v>5.8190000000000004E-3</v>
      </c>
      <c r="E32" s="55">
        <v>28</v>
      </c>
      <c r="F32" s="8">
        <f t="shared" si="2"/>
        <v>0.88498173235331534</v>
      </c>
      <c r="G32" s="8">
        <f t="shared" si="3"/>
        <v>0.92040380688428369</v>
      </c>
      <c r="H32" s="5">
        <f t="shared" si="4"/>
        <v>0.11501826764668466</v>
      </c>
      <c r="I32" s="5">
        <f t="shared" si="5"/>
        <v>0</v>
      </c>
      <c r="J32" s="2">
        <f t="shared" si="6"/>
        <v>0.25509363714308358</v>
      </c>
      <c r="K32" s="17">
        <f t="shared" si="0"/>
        <v>0</v>
      </c>
      <c r="L32" s="20">
        <f t="shared" si="1"/>
        <v>135.02520920123078</v>
      </c>
    </row>
    <row r="33" spans="1:14">
      <c r="A33" s="1"/>
      <c r="B33" s="4"/>
      <c r="C33" s="1">
        <v>58</v>
      </c>
      <c r="D33" s="4">
        <v>6.2839999999999997E-3</v>
      </c>
      <c r="E33" s="55">
        <v>29</v>
      </c>
      <c r="F33" s="8">
        <f t="shared" si="2"/>
        <v>0.88498173235331534</v>
      </c>
      <c r="G33" s="8">
        <f t="shared" si="3"/>
        <v>0.91461998936182287</v>
      </c>
      <c r="H33" s="5">
        <f t="shared" si="4"/>
        <v>0.11501826764668466</v>
      </c>
      <c r="I33" s="5">
        <f t="shared" si="5"/>
        <v>0</v>
      </c>
      <c r="J33" s="2">
        <f t="shared" si="6"/>
        <v>0.24294632108865097</v>
      </c>
      <c r="K33" s="17">
        <f t="shared" si="0"/>
        <v>0</v>
      </c>
      <c r="L33" s="20">
        <f t="shared" si="1"/>
        <v>127.78734360629545</v>
      </c>
    </row>
    <row r="34" spans="1:14">
      <c r="A34" s="1"/>
      <c r="B34" s="4"/>
      <c r="C34" s="1">
        <v>59</v>
      </c>
      <c r="D34" s="4">
        <v>6.8019999999999999E-3</v>
      </c>
      <c r="E34" s="55">
        <v>30</v>
      </c>
      <c r="F34" s="8">
        <f t="shared" si="2"/>
        <v>0.88498173235331534</v>
      </c>
      <c r="G34" s="8">
        <f t="shared" si="3"/>
        <v>0.90839874419418376</v>
      </c>
      <c r="H34" s="43">
        <f t="shared" si="4"/>
        <v>0.11501826764668466</v>
      </c>
      <c r="I34" s="5">
        <f t="shared" si="5"/>
        <v>0</v>
      </c>
      <c r="J34" s="2">
        <f t="shared" si="6"/>
        <v>0.23137744865585813</v>
      </c>
      <c r="K34" s="44">
        <f t="shared" si="0"/>
        <v>0</v>
      </c>
      <c r="L34" s="20">
        <f t="shared" si="1"/>
        <v>120.87441342389093</v>
      </c>
      <c r="N34" t="s">
        <v>75</v>
      </c>
    </row>
    <row r="35" spans="1:14">
      <c r="A35" s="1"/>
      <c r="B35" s="4"/>
      <c r="C35" s="1"/>
      <c r="D35" s="4"/>
      <c r="E35" s="4"/>
      <c r="F35" s="8"/>
      <c r="G35" s="8"/>
      <c r="H35" s="43"/>
      <c r="I35" s="5"/>
      <c r="K35" s="44"/>
      <c r="L35" s="20"/>
      <c r="N35" s="2" t="s">
        <v>76</v>
      </c>
    </row>
    <row r="36" spans="1:14">
      <c r="A36" s="1"/>
      <c r="B36" s="4"/>
      <c r="C36" s="1"/>
      <c r="D36" s="4"/>
      <c r="E36" s="4"/>
      <c r="F36" s="88">
        <v>1.5</v>
      </c>
      <c r="G36" s="88">
        <v>1.5</v>
      </c>
      <c r="H36" s="88">
        <v>1</v>
      </c>
      <c r="I36" s="88">
        <v>1</v>
      </c>
      <c r="J36" s="88">
        <v>1</v>
      </c>
      <c r="K36" s="88">
        <v>2</v>
      </c>
      <c r="L36" s="88">
        <v>4</v>
      </c>
      <c r="M36" s="89"/>
      <c r="N36" s="111" t="s">
        <v>77</v>
      </c>
    </row>
    <row r="37" spans="1:14">
      <c r="B37" s="4"/>
      <c r="F37" s="89"/>
      <c r="G37" s="89"/>
      <c r="H37" s="89"/>
      <c r="I37" s="89"/>
      <c r="J37" s="89"/>
      <c r="K37" s="89"/>
      <c r="L37" s="89"/>
      <c r="M37" s="89"/>
    </row>
    <row r="38" spans="1:14">
      <c r="B38" s="4"/>
      <c r="I38" s="43"/>
      <c r="K38" s="18">
        <f>SUM(K5:K34)</f>
        <v>5698.4022489827112</v>
      </c>
      <c r="L38" s="91">
        <f>SUM(L5:L34)</f>
        <v>3171.0948842872476</v>
      </c>
      <c r="N38" s="110">
        <f>SUM(L5:L33)</f>
        <v>3050.2204708633567</v>
      </c>
    </row>
    <row r="39" spans="1:14">
      <c r="B39" s="4"/>
      <c r="I39" s="53"/>
      <c r="K39" s="88">
        <v>1</v>
      </c>
      <c r="L39" s="88">
        <v>1</v>
      </c>
    </row>
    <row r="40" spans="1:14">
      <c r="B40" s="4"/>
      <c r="G40"/>
      <c r="H40"/>
      <c r="I40"/>
      <c r="J40"/>
      <c r="K40"/>
      <c r="L40"/>
      <c r="M40"/>
    </row>
    <row r="41" spans="1:14">
      <c r="B41" s="4"/>
      <c r="G41"/>
      <c r="H41"/>
      <c r="I41"/>
      <c r="J41"/>
      <c r="K41"/>
      <c r="L41"/>
      <c r="M41"/>
    </row>
    <row r="42" spans="1:14">
      <c r="B42" s="4"/>
    </row>
    <row r="43" spans="1:14">
      <c r="B43" s="4"/>
    </row>
    <row r="44" spans="1:14">
      <c r="B44" s="4"/>
    </row>
    <row r="45" spans="1:14">
      <c r="B45" s="4"/>
    </row>
    <row r="46" spans="1:14">
      <c r="B46" s="4"/>
    </row>
    <row r="47" spans="1:14">
      <c r="B47" s="4"/>
    </row>
    <row r="48" spans="1:14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</sheetData>
  <mergeCells count="2">
    <mergeCell ref="A1:B1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8"/>
  <sheetViews>
    <sheetView zoomScale="90" zoomScaleNormal="90" workbookViewId="0">
      <pane ySplit="3" topLeftCell="A4" activePane="bottomLeft" state="frozen"/>
      <selection pane="bottomLeft" activeCell="N38" sqref="N38"/>
    </sheetView>
  </sheetViews>
  <sheetFormatPr defaultRowHeight="12.75"/>
  <cols>
    <col min="1" max="1" width="7.140625" style="2" bestFit="1" customWidth="1"/>
    <col min="2" max="2" width="9.85546875" style="2" bestFit="1" customWidth="1"/>
    <col min="3" max="3" width="7.140625" style="2" bestFit="1" customWidth="1"/>
    <col min="4" max="4" width="9.85546875" style="2" bestFit="1" customWidth="1"/>
    <col min="5" max="5" width="9.85546875" style="2" customWidth="1"/>
    <col min="6" max="6" width="10.42578125" style="2" bestFit="1" customWidth="1"/>
    <col min="7" max="7" width="11" style="2" bestFit="1" customWidth="1"/>
    <col min="8" max="8" width="10.42578125" style="2" bestFit="1" customWidth="1"/>
    <col min="9" max="9" width="11.5703125" style="2" customWidth="1"/>
    <col min="10" max="10" width="9.140625" style="2"/>
    <col min="11" max="11" width="15.28515625" style="2" bestFit="1" customWidth="1"/>
    <col min="12" max="13" width="9.140625" style="2"/>
    <col min="14" max="14" width="9.85546875" style="2" bestFit="1" customWidth="1"/>
    <col min="15" max="15" width="5.85546875" style="2" customWidth="1"/>
    <col min="16" max="16384" width="9.140625" style="2"/>
  </cols>
  <sheetData>
    <row r="1" spans="1:14" ht="25.5">
      <c r="A1" s="136" t="s">
        <v>15</v>
      </c>
      <c r="B1" s="136"/>
      <c r="C1" s="136" t="s">
        <v>16</v>
      </c>
      <c r="D1" s="136"/>
      <c r="E1" s="87" t="s">
        <v>20</v>
      </c>
      <c r="F1" s="9" t="s">
        <v>2</v>
      </c>
      <c r="G1" s="10" t="s">
        <v>3</v>
      </c>
      <c r="H1" s="10" t="s">
        <v>4</v>
      </c>
      <c r="I1" s="10" t="s">
        <v>14</v>
      </c>
      <c r="J1" s="10" t="s">
        <v>5</v>
      </c>
      <c r="K1" s="10" t="s">
        <v>6</v>
      </c>
      <c r="M1" s="10" t="s">
        <v>73</v>
      </c>
      <c r="N1" s="10" t="s">
        <v>7</v>
      </c>
    </row>
    <row r="2" spans="1:14">
      <c r="F2" s="6"/>
      <c r="J2" s="15">
        <v>0.05</v>
      </c>
      <c r="K2" s="16">
        <v>100000</v>
      </c>
      <c r="N2" s="19">
        <v>5000</v>
      </c>
    </row>
    <row r="3" spans="1:14" ht="18.75">
      <c r="A3" s="1" t="s">
        <v>0</v>
      </c>
      <c r="B3" s="3" t="s">
        <v>1</v>
      </c>
      <c r="C3" s="1" t="s">
        <v>0</v>
      </c>
      <c r="D3" s="3" t="s">
        <v>1</v>
      </c>
      <c r="E3" s="114" t="s">
        <v>81</v>
      </c>
      <c r="F3" s="95" t="s">
        <v>82</v>
      </c>
      <c r="G3" s="95" t="s">
        <v>83</v>
      </c>
      <c r="H3" s="114" t="s">
        <v>84</v>
      </c>
      <c r="I3" s="114" t="s">
        <v>85</v>
      </c>
      <c r="K3" s="113" t="s">
        <v>86</v>
      </c>
    </row>
    <row r="4" spans="1:14">
      <c r="F4" s="8"/>
      <c r="G4" s="11"/>
      <c r="H4" s="5"/>
      <c r="I4" s="5"/>
    </row>
    <row r="5" spans="1:14">
      <c r="A5" s="1">
        <v>35</v>
      </c>
      <c r="B5" s="4">
        <v>2.055E-3</v>
      </c>
      <c r="C5" s="1">
        <v>30</v>
      </c>
      <c r="D5" s="4">
        <v>1.253E-3</v>
      </c>
      <c r="E5" s="55">
        <v>1</v>
      </c>
      <c r="F5" s="8">
        <f>(1-B5)</f>
        <v>0.99794499999999997</v>
      </c>
      <c r="G5" s="8">
        <f>(1-D5)</f>
        <v>0.99874700000000005</v>
      </c>
      <c r="H5" s="5"/>
      <c r="I5" s="5">
        <f>B5</f>
        <v>2.055E-3</v>
      </c>
      <c r="J5" s="2">
        <f>(1+$J$2)^-(E5)</f>
        <v>0.95238095238095233</v>
      </c>
      <c r="K5" s="17">
        <f t="shared" ref="K5:K34" si="0">$K$2*I5*J5</f>
        <v>195.71428571428569</v>
      </c>
      <c r="M5">
        <f t="shared" ref="M5:M34" si="1">1+M6*(1-D5)/(1+$J$2)</f>
        <v>15.976001648500278</v>
      </c>
      <c r="N5" s="20">
        <f t="shared" ref="N5:N35" si="2">I5*G5*M6*$N$2*J5</f>
        <v>153.87841693834039</v>
      </c>
    </row>
    <row r="6" spans="1:14">
      <c r="A6" s="1">
        <v>36</v>
      </c>
      <c r="B6" s="4">
        <v>2.2279999999999999E-3</v>
      </c>
      <c r="C6" s="1">
        <v>31</v>
      </c>
      <c r="D6" s="4">
        <v>1.351E-3</v>
      </c>
      <c r="E6" s="55">
        <v>2</v>
      </c>
      <c r="F6" s="8">
        <f t="shared" ref="F6:F34" si="3">F5*(1-B6)</f>
        <v>0.99572157853999999</v>
      </c>
      <c r="G6" s="8">
        <f t="shared" ref="G6:G34" si="4">G5*(1-D6)</f>
        <v>0.99739769280300006</v>
      </c>
      <c r="H6" s="5"/>
      <c r="I6" s="5">
        <f t="shared" ref="I6:I34" si="5">F5*B6</f>
        <v>2.2234214600000001E-3</v>
      </c>
      <c r="J6" s="2">
        <f t="shared" ref="J6:J34" si="6">(1+$J$2)^-(E6)</f>
        <v>0.90702947845804982</v>
      </c>
      <c r="K6" s="17">
        <f t="shared" si="0"/>
        <v>201.67088072562359</v>
      </c>
      <c r="M6">
        <f t="shared" si="1"/>
        <v>15.744529626547356</v>
      </c>
      <c r="N6" s="20">
        <f t="shared" si="2"/>
        <v>155.91536242797056</v>
      </c>
    </row>
    <row r="7" spans="1:14">
      <c r="A7" s="1">
        <v>37</v>
      </c>
      <c r="B7" s="4">
        <v>2.4120000000000001E-3</v>
      </c>
      <c r="C7" s="1">
        <v>32</v>
      </c>
      <c r="D7" s="4">
        <v>1.451E-3</v>
      </c>
      <c r="E7" s="55">
        <v>3</v>
      </c>
      <c r="F7" s="8">
        <f t="shared" si="3"/>
        <v>0.99331989809256149</v>
      </c>
      <c r="G7" s="8">
        <f t="shared" si="4"/>
        <v>0.99595046875074289</v>
      </c>
      <c r="H7" s="5"/>
      <c r="I7" s="5">
        <f t="shared" si="5"/>
        <v>2.4016804474384802E-3</v>
      </c>
      <c r="J7" s="2">
        <f t="shared" si="6"/>
        <v>0.86383759853147601</v>
      </c>
      <c r="K7" s="17">
        <f t="shared" si="0"/>
        <v>207.46618701552575</v>
      </c>
      <c r="M7">
        <f t="shared" si="1"/>
        <v>15.502700255920473</v>
      </c>
      <c r="N7" s="20">
        <f t="shared" si="2"/>
        <v>157.55197761363081</v>
      </c>
    </row>
    <row r="8" spans="1:14">
      <c r="A8" s="1">
        <v>38</v>
      </c>
      <c r="B8" s="4">
        <v>2.6050000000000001E-3</v>
      </c>
      <c r="C8" s="1">
        <v>33</v>
      </c>
      <c r="D8" s="4">
        <v>1.554E-3</v>
      </c>
      <c r="E8" s="55">
        <v>4</v>
      </c>
      <c r="F8" s="8">
        <f t="shared" si="3"/>
        <v>0.99073229975803045</v>
      </c>
      <c r="G8" s="8">
        <f t="shared" si="4"/>
        <v>0.99440276172230413</v>
      </c>
      <c r="H8" s="5"/>
      <c r="I8" s="5">
        <f t="shared" si="5"/>
        <v>2.5875983345311228E-3</v>
      </c>
      <c r="J8" s="2">
        <f t="shared" si="6"/>
        <v>0.82270247479188197</v>
      </c>
      <c r="K8" s="17">
        <f t="shared" si="0"/>
        <v>212.88235535861068</v>
      </c>
      <c r="M8">
        <f t="shared" si="1"/>
        <v>15.24996296497868</v>
      </c>
      <c r="N8" s="20">
        <f t="shared" si="2"/>
        <v>158.61726093889098</v>
      </c>
    </row>
    <row r="9" spans="1:14">
      <c r="A9" s="1">
        <v>39</v>
      </c>
      <c r="B9" s="4">
        <v>2.8080000000000002E-3</v>
      </c>
      <c r="C9" s="1">
        <v>34</v>
      </c>
      <c r="D9" s="4">
        <v>1.6590000000000001E-3</v>
      </c>
      <c r="E9" s="55">
        <v>5</v>
      </c>
      <c r="F9" s="8">
        <f t="shared" si="3"/>
        <v>0.98795032346030986</v>
      </c>
      <c r="G9" s="8">
        <f t="shared" si="4"/>
        <v>0.99275304754060689</v>
      </c>
      <c r="H9" s="5"/>
      <c r="I9" s="5">
        <f t="shared" si="5"/>
        <v>2.7819762977205498E-3</v>
      </c>
      <c r="J9" s="2">
        <f t="shared" si="6"/>
        <v>0.78352616646845896</v>
      </c>
      <c r="K9" s="17">
        <f t="shared" si="0"/>
        <v>217.97512237590988</v>
      </c>
      <c r="M9">
        <f t="shared" si="1"/>
        <v>14.985748967122523</v>
      </c>
      <c r="N9" s="20">
        <f t="shared" si="2"/>
        <v>159.15280016707274</v>
      </c>
    </row>
    <row r="10" spans="1:14">
      <c r="A10" s="1">
        <v>40</v>
      </c>
      <c r="B10" s="4">
        <v>3.0200000000000001E-3</v>
      </c>
      <c r="C10" s="1">
        <v>35</v>
      </c>
      <c r="D10" s="4">
        <v>1.766E-3</v>
      </c>
      <c r="E10" s="55">
        <v>6</v>
      </c>
      <c r="F10" s="8">
        <f t="shared" si="3"/>
        <v>0.98496671348345965</v>
      </c>
      <c r="G10" s="8">
        <f t="shared" si="4"/>
        <v>0.99099984565865018</v>
      </c>
      <c r="H10" s="5"/>
      <c r="I10" s="5">
        <f t="shared" si="5"/>
        <v>2.9836099768501359E-3</v>
      </c>
      <c r="J10" s="2">
        <f t="shared" si="6"/>
        <v>0.74621539663662761</v>
      </c>
      <c r="K10" s="17">
        <f t="shared" si="0"/>
        <v>222.64157022842232</v>
      </c>
      <c r="M10">
        <f t="shared" si="1"/>
        <v>14.709439375402443</v>
      </c>
      <c r="N10" s="20">
        <f t="shared" si="2"/>
        <v>159.08399329873328</v>
      </c>
    </row>
    <row r="11" spans="1:14">
      <c r="A11" s="1">
        <v>41</v>
      </c>
      <c r="B11" s="4">
        <v>3.2420000000000001E-3</v>
      </c>
      <c r="C11" s="1">
        <v>36</v>
      </c>
      <c r="D11" s="4">
        <v>1.874E-3</v>
      </c>
      <c r="E11" s="55">
        <v>7</v>
      </c>
      <c r="F11" s="8">
        <f t="shared" si="3"/>
        <v>0.98177345139834626</v>
      </c>
      <c r="G11" s="8">
        <f t="shared" si="4"/>
        <v>0.98914271194788583</v>
      </c>
      <c r="H11" s="5"/>
      <c r="I11" s="5">
        <f t="shared" si="5"/>
        <v>3.1932620851133761E-3</v>
      </c>
      <c r="J11" s="2">
        <f t="shared" si="6"/>
        <v>0.71068133013012147</v>
      </c>
      <c r="K11" s="17">
        <f t="shared" si="0"/>
        <v>226.93917461024591</v>
      </c>
      <c r="M11">
        <f t="shared" si="1"/>
        <v>14.420377731245948</v>
      </c>
      <c r="N11" s="20">
        <f t="shared" si="2"/>
        <v>158.45542073632043</v>
      </c>
    </row>
    <row r="12" spans="1:14">
      <c r="A12" s="1">
        <v>42</v>
      </c>
      <c r="B12" s="4">
        <v>3.473E-3</v>
      </c>
      <c r="C12" s="1">
        <v>37</v>
      </c>
      <c r="D12" s="4">
        <v>1.9840000000000001E-3</v>
      </c>
      <c r="E12" s="55">
        <v>8</v>
      </c>
      <c r="F12" s="8">
        <f t="shared" si="3"/>
        <v>0.97836375220163985</v>
      </c>
      <c r="G12" s="8">
        <f t="shared" si="4"/>
        <v>0.9871802528073812</v>
      </c>
      <c r="H12" s="5"/>
      <c r="I12" s="5">
        <f t="shared" si="5"/>
        <v>3.4096991967064567E-3</v>
      </c>
      <c r="J12" s="2">
        <f t="shared" si="6"/>
        <v>0.67683936202868722</v>
      </c>
      <c r="K12" s="17">
        <f t="shared" si="0"/>
        <v>230.78186290085253</v>
      </c>
      <c r="M12">
        <f t="shared" si="1"/>
        <v>14.117853475220809</v>
      </c>
      <c r="N12" s="20">
        <f t="shared" si="2"/>
        <v>157.21091997499244</v>
      </c>
    </row>
    <row r="13" spans="1:14">
      <c r="A13" s="1">
        <v>43</v>
      </c>
      <c r="B13" s="4">
        <v>3.7109999999999999E-3</v>
      </c>
      <c r="C13" s="1">
        <v>38</v>
      </c>
      <c r="D13" s="4">
        <v>2.0960000000000002E-3</v>
      </c>
      <c r="E13" s="55">
        <v>9</v>
      </c>
      <c r="F13" s="8">
        <f t="shared" si="3"/>
        <v>0.97473304431721952</v>
      </c>
      <c r="G13" s="8">
        <f t="shared" si="4"/>
        <v>0.98511112299749692</v>
      </c>
      <c r="H13" s="5"/>
      <c r="I13" s="5">
        <f t="shared" si="5"/>
        <v>3.6307078844202852E-3</v>
      </c>
      <c r="J13" s="2">
        <f t="shared" si="6"/>
        <v>0.64460891621779726</v>
      </c>
      <c r="K13" s="17">
        <f t="shared" si="0"/>
        <v>234.03866744795715</v>
      </c>
      <c r="M13">
        <f t="shared" si="1"/>
        <v>13.801127586112697</v>
      </c>
      <c r="N13" s="20">
        <f t="shared" si="2"/>
        <v>155.27144887432911</v>
      </c>
    </row>
    <row r="14" spans="1:14">
      <c r="A14" s="1">
        <v>44</v>
      </c>
      <c r="B14" s="4">
        <v>3.9569999999999996E-3</v>
      </c>
      <c r="C14" s="1">
        <v>39</v>
      </c>
      <c r="D14" s="4">
        <v>2.2079999999999999E-3</v>
      </c>
      <c r="E14" s="55">
        <v>10</v>
      </c>
      <c r="F14" s="8">
        <f t="shared" si="3"/>
        <v>0.97087602566085629</v>
      </c>
      <c r="G14" s="8">
        <f t="shared" si="4"/>
        <v>0.9829359976379185</v>
      </c>
      <c r="H14" s="5"/>
      <c r="I14" s="5">
        <f t="shared" si="5"/>
        <v>3.8570186563632375E-3</v>
      </c>
      <c r="J14" s="2">
        <f t="shared" si="6"/>
        <v>0.61391325354075932</v>
      </c>
      <c r="K14" s="17">
        <f t="shared" si="0"/>
        <v>236.78748722953631</v>
      </c>
      <c r="M14">
        <f t="shared" si="1"/>
        <v>13.469415861063121</v>
      </c>
      <c r="N14" s="20">
        <f t="shared" si="2"/>
        <v>152.70363812405569</v>
      </c>
    </row>
    <row r="15" spans="1:14">
      <c r="A15" s="1">
        <v>45</v>
      </c>
      <c r="B15" s="4">
        <v>4.2100000000000002E-3</v>
      </c>
      <c r="C15" s="1">
        <v>40</v>
      </c>
      <c r="D15" s="4">
        <v>2.3210000000000001E-3</v>
      </c>
      <c r="E15" s="55">
        <v>11</v>
      </c>
      <c r="F15" s="8">
        <f t="shared" si="3"/>
        <v>0.96678863759282407</v>
      </c>
      <c r="G15" s="8">
        <f t="shared" si="4"/>
        <v>0.98065460318740083</v>
      </c>
      <c r="H15" s="5"/>
      <c r="I15" s="5">
        <f t="shared" si="5"/>
        <v>4.0873880680322048E-3</v>
      </c>
      <c r="J15" s="2">
        <f t="shared" si="6"/>
        <v>0.5846792890864374</v>
      </c>
      <c r="K15" s="17">
        <f t="shared" si="0"/>
        <v>238.98111498374564</v>
      </c>
      <c r="M15">
        <f t="shared" si="1"/>
        <v>13.121859720378874</v>
      </c>
      <c r="N15" s="20">
        <f t="shared" si="2"/>
        <v>149.49180325362116</v>
      </c>
    </row>
    <row r="16" spans="1:14">
      <c r="A16" s="1">
        <v>46</v>
      </c>
      <c r="B16" s="4">
        <v>4.4689999999999999E-3</v>
      </c>
      <c r="C16" s="1">
        <v>41</v>
      </c>
      <c r="D16" s="4">
        <v>2.4350000000000001E-3</v>
      </c>
      <c r="E16" s="55">
        <v>12</v>
      </c>
      <c r="F16" s="8">
        <f t="shared" si="3"/>
        <v>0.96246805917142175</v>
      </c>
      <c r="G16" s="8">
        <f t="shared" si="4"/>
        <v>0.97826670922863956</v>
      </c>
      <c r="H16" s="5"/>
      <c r="I16" s="5">
        <f t="shared" si="5"/>
        <v>4.3205784214023308E-3</v>
      </c>
      <c r="J16" s="2">
        <f t="shared" si="6"/>
        <v>0.5568374181775595</v>
      </c>
      <c r="K16" s="17">
        <f t="shared" si="0"/>
        <v>240.58597332073498</v>
      </c>
      <c r="M16">
        <f t="shared" si="1"/>
        <v>12.757563010144365</v>
      </c>
      <c r="N16" s="20">
        <f t="shared" si="2"/>
        <v>145.63407206257378</v>
      </c>
    </row>
    <row r="17" spans="1:14">
      <c r="A17" s="1">
        <v>47</v>
      </c>
      <c r="B17" s="4">
        <v>4.7320000000000001E-3</v>
      </c>
      <c r="C17" s="1">
        <v>42</v>
      </c>
      <c r="D17" s="4">
        <v>2.5479999999999999E-3</v>
      </c>
      <c r="E17" s="55">
        <v>13</v>
      </c>
      <c r="F17" s="8">
        <f t="shared" si="3"/>
        <v>0.95791366031542258</v>
      </c>
      <c r="G17" s="8">
        <f t="shared" si="4"/>
        <v>0.97577408565352497</v>
      </c>
      <c r="H17" s="5"/>
      <c r="I17" s="5">
        <f t="shared" si="5"/>
        <v>4.5543988559991677E-3</v>
      </c>
      <c r="J17" s="2">
        <f t="shared" si="6"/>
        <v>0.53032135064529462</v>
      </c>
      <c r="K17" s="17">
        <f t="shared" si="0"/>
        <v>241.52949526908631</v>
      </c>
      <c r="M17">
        <f t="shared" si="1"/>
        <v>12.375575687450524</v>
      </c>
      <c r="N17" s="20">
        <f t="shared" si="2"/>
        <v>141.11076170527983</v>
      </c>
    </row>
    <row r="18" spans="1:14">
      <c r="A18" s="1">
        <v>48</v>
      </c>
      <c r="B18" s="4">
        <v>5.0000000000000001E-3</v>
      </c>
      <c r="C18" s="1">
        <v>43</v>
      </c>
      <c r="D18" s="4">
        <v>2.6610000000000002E-3</v>
      </c>
      <c r="E18" s="55">
        <v>14</v>
      </c>
      <c r="F18" s="8">
        <f t="shared" si="3"/>
        <v>0.95312409201384551</v>
      </c>
      <c r="G18" s="8">
        <f t="shared" si="4"/>
        <v>0.97317755081160096</v>
      </c>
      <c r="H18" s="5"/>
      <c r="I18" s="5">
        <f t="shared" si="5"/>
        <v>4.7895683015771132E-3</v>
      </c>
      <c r="J18" s="2">
        <f t="shared" si="6"/>
        <v>0.50506795299551888</v>
      </c>
      <c r="K18" s="17">
        <f t="shared" si="0"/>
        <v>241.90574578097767</v>
      </c>
      <c r="M18">
        <f t="shared" si="1"/>
        <v>11.974866431490488</v>
      </c>
      <c r="N18" s="20">
        <f t="shared" si="2"/>
        <v>136.00472942527887</v>
      </c>
    </row>
    <row r="19" spans="1:14">
      <c r="A19" s="1">
        <v>49</v>
      </c>
      <c r="B19" s="4">
        <v>5.2690000000000002E-3</v>
      </c>
      <c r="C19" s="1">
        <v>44</v>
      </c>
      <c r="D19" s="4">
        <v>2.774E-3</v>
      </c>
      <c r="E19" s="55">
        <v>15</v>
      </c>
      <c r="F19" s="8">
        <f t="shared" si="3"/>
        <v>0.94810208117302464</v>
      </c>
      <c r="G19" s="8">
        <f t="shared" si="4"/>
        <v>0.97047795628564948</v>
      </c>
      <c r="H19" s="5"/>
      <c r="I19" s="5">
        <f t="shared" si="5"/>
        <v>5.0220108408209523E-3</v>
      </c>
      <c r="J19" s="2">
        <f t="shared" si="6"/>
        <v>0.48101709809097021</v>
      </c>
      <c r="K19" s="17">
        <f t="shared" si="0"/>
        <v>241.56730812330878</v>
      </c>
      <c r="M19">
        <f t="shared" si="1"/>
        <v>11.554355894099212</v>
      </c>
      <c r="N19" s="20">
        <f t="shared" si="2"/>
        <v>130.2630611820484</v>
      </c>
    </row>
    <row r="20" spans="1:14">
      <c r="A20" s="1">
        <v>50</v>
      </c>
      <c r="B20" s="4">
        <v>5.5409999999999999E-3</v>
      </c>
      <c r="C20" s="1">
        <v>45</v>
      </c>
      <c r="D20" s="4">
        <v>2.8869999999999998E-3</v>
      </c>
      <c r="E20" s="55">
        <v>16</v>
      </c>
      <c r="F20" s="8">
        <f t="shared" si="3"/>
        <v>0.94284864754124487</v>
      </c>
      <c r="G20" s="8">
        <f t="shared" si="4"/>
        <v>0.96767618642585285</v>
      </c>
      <c r="H20" s="5"/>
      <c r="I20" s="5">
        <f t="shared" si="5"/>
        <v>5.2534336317797293E-3</v>
      </c>
      <c r="J20" s="2">
        <f t="shared" si="6"/>
        <v>0.45811152199140021</v>
      </c>
      <c r="K20" s="17">
        <f t="shared" si="0"/>
        <v>240.66584767354209</v>
      </c>
      <c r="M20">
        <f t="shared" si="1"/>
        <v>11.112900875833736</v>
      </c>
      <c r="N20" s="20">
        <f t="shared" si="2"/>
        <v>124.00385708287565</v>
      </c>
    </row>
    <row r="21" spans="1:14">
      <c r="A21" s="1">
        <v>51</v>
      </c>
      <c r="B21" s="4">
        <v>5.8120000000000003E-3</v>
      </c>
      <c r="C21" s="1">
        <v>46</v>
      </c>
      <c r="D21" s="4">
        <v>3.0119999999999999E-3</v>
      </c>
      <c r="E21" s="55">
        <v>17</v>
      </c>
      <c r="F21" s="8">
        <f t="shared" si="3"/>
        <v>0.9373688112017351</v>
      </c>
      <c r="G21" s="8">
        <f t="shared" si="4"/>
        <v>0.96476154575233819</v>
      </c>
      <c r="H21" s="5"/>
      <c r="I21" s="5">
        <f t="shared" si="5"/>
        <v>5.4798363395097156E-3</v>
      </c>
      <c r="J21" s="2">
        <f t="shared" si="6"/>
        <v>0.43629668761085727</v>
      </c>
      <c r="K21" s="17">
        <f>$K$2*I21*J21</f>
        <v>239.08344435776939</v>
      </c>
      <c r="M21">
        <f t="shared" si="1"/>
        <v>10.649290421071056</v>
      </c>
      <c r="N21" s="20">
        <f t="shared" si="2"/>
        <v>117.20178841169215</v>
      </c>
    </row>
    <row r="22" spans="1:14">
      <c r="A22" s="1">
        <v>52</v>
      </c>
      <c r="B22" s="4">
        <v>6.0819999999999997E-3</v>
      </c>
      <c r="C22" s="1">
        <v>47</v>
      </c>
      <c r="D22" s="4">
        <v>3.15E-3</v>
      </c>
      <c r="E22" s="55">
        <v>18</v>
      </c>
      <c r="F22" s="8">
        <f t="shared" si="3"/>
        <v>0.93166773409200609</v>
      </c>
      <c r="G22" s="8">
        <f t="shared" si="4"/>
        <v>0.96172254688321834</v>
      </c>
      <c r="H22" s="5"/>
      <c r="I22" s="5">
        <f t="shared" si="5"/>
        <v>5.7010771097289522E-3</v>
      </c>
      <c r="J22" s="2">
        <f t="shared" si="6"/>
        <v>0.41552065486748313</v>
      </c>
      <c r="K22" s="17">
        <f t="shared" si="0"/>
        <v>236.89152940845923</v>
      </c>
      <c r="M22">
        <f t="shared" si="1"/>
        <v>10.162363982439716</v>
      </c>
      <c r="N22" s="20">
        <f t="shared" si="2"/>
        <v>109.93509610144156</v>
      </c>
    </row>
    <row r="23" spans="1:14">
      <c r="A23" s="1">
        <v>53</v>
      </c>
      <c r="B23" s="4">
        <v>6.3489999999999996E-3</v>
      </c>
      <c r="C23" s="1">
        <v>48</v>
      </c>
      <c r="D23" s="4">
        <v>3.3050000000000002E-3</v>
      </c>
      <c r="E23" s="55">
        <v>19</v>
      </c>
      <c r="F23" s="8">
        <f t="shared" si="3"/>
        <v>0.92575257564825586</v>
      </c>
      <c r="G23" s="8">
        <f t="shared" si="4"/>
        <v>0.95854405386576935</v>
      </c>
      <c r="H23" s="5"/>
      <c r="I23" s="5">
        <f t="shared" si="5"/>
        <v>5.9151584437501462E-3</v>
      </c>
      <c r="J23" s="2">
        <f t="shared" si="6"/>
        <v>0.39573395701665059</v>
      </c>
      <c r="K23" s="17">
        <f t="shared" si="0"/>
        <v>234.0829057325698</v>
      </c>
      <c r="M23">
        <f t="shared" si="1"/>
        <v>9.6508824613148434</v>
      </c>
      <c r="N23" s="20">
        <f t="shared" si="2"/>
        <v>102.24432507538872</v>
      </c>
    </row>
    <row r="24" spans="1:14">
      <c r="A24" s="1">
        <v>54</v>
      </c>
      <c r="B24" s="4">
        <v>6.6119999999999998E-3</v>
      </c>
      <c r="C24" s="1">
        <v>49</v>
      </c>
      <c r="D24" s="4">
        <v>3.4780000000000002E-3</v>
      </c>
      <c r="E24" s="55">
        <v>20</v>
      </c>
      <c r="F24" s="8">
        <f t="shared" si="3"/>
        <v>0.91963149961806967</v>
      </c>
      <c r="G24" s="8">
        <f t="shared" si="4"/>
        <v>0.95521023764642421</v>
      </c>
      <c r="H24" s="5"/>
      <c r="I24" s="5">
        <f t="shared" si="5"/>
        <v>6.1210760301862671E-3</v>
      </c>
      <c r="J24" s="2">
        <f t="shared" si="6"/>
        <v>0.37688948287300061</v>
      </c>
      <c r="K24" s="17">
        <f t="shared" si="0"/>
        <v>230.69691796432218</v>
      </c>
      <c r="M24">
        <f t="shared" si="1"/>
        <v>9.1135468567421185</v>
      </c>
      <c r="N24" s="20">
        <f t="shared" si="2"/>
        <v>94.194147957012021</v>
      </c>
    </row>
    <row r="25" spans="1:14">
      <c r="A25" s="1">
        <v>55</v>
      </c>
      <c r="B25" s="4">
        <v>6.8789999999999997E-3</v>
      </c>
      <c r="C25" s="1">
        <v>50</v>
      </c>
      <c r="D25" s="4">
        <v>3.6719999999999999E-3</v>
      </c>
      <c r="E25" s="55">
        <v>21</v>
      </c>
      <c r="F25" s="8">
        <f t="shared" si="3"/>
        <v>0.91330535453219697</v>
      </c>
      <c r="G25" s="8">
        <f t="shared" si="4"/>
        <v>0.95170270565378656</v>
      </c>
      <c r="H25" s="5"/>
      <c r="I25" s="5">
        <f t="shared" si="5"/>
        <v>6.3261450858727013E-3</v>
      </c>
      <c r="J25" s="2">
        <f t="shared" si="6"/>
        <v>0.35894236464095297</v>
      </c>
      <c r="K25" s="17">
        <f t="shared" si="0"/>
        <v>227.0721476184892</v>
      </c>
      <c r="M25">
        <f t="shared" si="1"/>
        <v>8.5489574736726581</v>
      </c>
      <c r="N25" s="20">
        <f t="shared" si="2"/>
        <v>85.962515992804356</v>
      </c>
    </row>
    <row r="26" spans="1:14">
      <c r="A26" s="1">
        <v>56</v>
      </c>
      <c r="B26" s="4">
        <v>7.1929999999999997E-3</v>
      </c>
      <c r="C26" s="1">
        <v>51</v>
      </c>
      <c r="D26" s="4">
        <v>3.8869999999999998E-3</v>
      </c>
      <c r="E26" s="55">
        <v>22</v>
      </c>
      <c r="F26" s="8">
        <f t="shared" si="3"/>
        <v>0.90673594911704691</v>
      </c>
      <c r="G26" s="8">
        <f t="shared" si="4"/>
        <v>0.94800343723691027</v>
      </c>
      <c r="H26" s="5"/>
      <c r="I26" s="5">
        <f t="shared" si="5"/>
        <v>6.5694054151500926E-3</v>
      </c>
      <c r="J26" s="2">
        <f t="shared" si="6"/>
        <v>0.3418498710866219</v>
      </c>
      <c r="K26" s="17">
        <f t="shared" si="0"/>
        <v>224.57503942848152</v>
      </c>
      <c r="M26">
        <f t="shared" si="1"/>
        <v>7.9556183780404552</v>
      </c>
      <c r="N26" s="20">
        <f t="shared" si="2"/>
        <v>78.04729187710528</v>
      </c>
    </row>
    <row r="27" spans="1:14">
      <c r="A27" s="1">
        <v>57</v>
      </c>
      <c r="B27" s="4">
        <v>7.574E-3</v>
      </c>
      <c r="C27" s="1">
        <v>52</v>
      </c>
      <c r="D27" s="4">
        <v>4.1279999999999997E-3</v>
      </c>
      <c r="E27" s="55">
        <v>23</v>
      </c>
      <c r="F27" s="8">
        <f t="shared" si="3"/>
        <v>0.89986833103843444</v>
      </c>
      <c r="G27" s="8">
        <f t="shared" si="4"/>
        <v>0.94409007904799624</v>
      </c>
      <c r="H27" s="5"/>
      <c r="I27" s="5">
        <f t="shared" si="5"/>
        <v>6.867618078612513E-3</v>
      </c>
      <c r="J27" s="2">
        <f t="shared" si="6"/>
        <v>0.32557130579678267</v>
      </c>
      <c r="K27" s="17">
        <f t="shared" si="0"/>
        <v>223.58993855674677</v>
      </c>
      <c r="M27">
        <f t="shared" si="1"/>
        <v>7.3318983859687386</v>
      </c>
      <c r="N27" s="20">
        <f t="shared" si="2"/>
        <v>70.462071814826871</v>
      </c>
    </row>
    <row r="28" spans="1:14">
      <c r="A28" s="1">
        <v>58</v>
      </c>
      <c r="B28" s="4">
        <v>8.0319999999999992E-3</v>
      </c>
      <c r="C28" s="1">
        <v>53</v>
      </c>
      <c r="D28" s="4">
        <v>4.3959999999999997E-3</v>
      </c>
      <c r="E28" s="55">
        <v>24</v>
      </c>
      <c r="F28" s="8">
        <f t="shared" si="3"/>
        <v>0.89264058860353368</v>
      </c>
      <c r="G28" s="8">
        <f t="shared" si="4"/>
        <v>0.93993985906050126</v>
      </c>
      <c r="H28" s="5"/>
      <c r="I28" s="5">
        <f t="shared" si="5"/>
        <v>7.2277424349007045E-3</v>
      </c>
      <c r="J28" s="2">
        <f t="shared" si="6"/>
        <v>0.31006791028265024</v>
      </c>
      <c r="K28" s="17">
        <f t="shared" si="0"/>
        <v>224.10909928508957</v>
      </c>
      <c r="M28">
        <f t="shared" si="1"/>
        <v>6.6760520481218233</v>
      </c>
      <c r="N28" s="20">
        <f t="shared" si="2"/>
        <v>63.049057177225819</v>
      </c>
    </row>
    <row r="29" spans="1:14">
      <c r="A29" s="1">
        <v>59</v>
      </c>
      <c r="B29" s="4">
        <v>8.5800000000000008E-3</v>
      </c>
      <c r="C29" s="1">
        <v>54</v>
      </c>
      <c r="D29" s="4">
        <v>4.6959999999999997E-3</v>
      </c>
      <c r="E29" s="55">
        <v>25</v>
      </c>
      <c r="F29" s="8">
        <f t="shared" si="3"/>
        <v>0.88498173235331534</v>
      </c>
      <c r="G29" s="8">
        <f t="shared" si="4"/>
        <v>0.93552590148235315</v>
      </c>
      <c r="H29" s="5"/>
      <c r="I29" s="5">
        <f t="shared" si="5"/>
        <v>7.6588562502183195E-3</v>
      </c>
      <c r="J29" s="2">
        <f t="shared" si="6"/>
        <v>0.29530277169776209</v>
      </c>
      <c r="K29" s="17">
        <f t="shared" si="0"/>
        <v>226.16814787241987</v>
      </c>
      <c r="M29">
        <f t="shared" si="1"/>
        <v>5.9861698532025933</v>
      </c>
      <c r="N29" s="20">
        <f t="shared" si="2"/>
        <v>55.649066073732662</v>
      </c>
    </row>
    <row r="30" spans="1:14">
      <c r="A30" s="1"/>
      <c r="B30" s="4"/>
      <c r="C30" s="1">
        <v>55</v>
      </c>
      <c r="D30" s="4">
        <v>5.0299999999999997E-3</v>
      </c>
      <c r="E30" s="55">
        <v>26</v>
      </c>
      <c r="F30" s="8">
        <f t="shared" si="3"/>
        <v>0.88498173235331534</v>
      </c>
      <c r="G30" s="8">
        <f t="shared" si="4"/>
        <v>0.93082020619789696</v>
      </c>
      <c r="H30" s="5"/>
      <c r="I30" s="5">
        <f t="shared" si="5"/>
        <v>0</v>
      </c>
      <c r="J30" s="2">
        <f t="shared" si="6"/>
        <v>0.28124073495024959</v>
      </c>
      <c r="K30" s="17">
        <f t="shared" si="0"/>
        <v>0</v>
      </c>
      <c r="M30">
        <f t="shared" si="1"/>
        <v>5.2601801518558382</v>
      </c>
      <c r="N30" s="20">
        <f t="shared" si="2"/>
        <v>0</v>
      </c>
    </row>
    <row r="31" spans="1:14">
      <c r="A31" s="1"/>
      <c r="B31" s="4"/>
      <c r="C31" s="1">
        <v>56</v>
      </c>
      <c r="D31" s="4">
        <v>5.4029999999999998E-3</v>
      </c>
      <c r="E31" s="55">
        <v>27</v>
      </c>
      <c r="F31" s="8">
        <f t="shared" si="3"/>
        <v>0.88498173235331534</v>
      </c>
      <c r="G31" s="8">
        <f t="shared" si="4"/>
        <v>0.92579098462380971</v>
      </c>
      <c r="H31" s="5"/>
      <c r="I31" s="5">
        <f t="shared" si="5"/>
        <v>0</v>
      </c>
      <c r="J31" s="2">
        <f t="shared" si="6"/>
        <v>0.2678483190002377</v>
      </c>
      <c r="K31" s="17">
        <f t="shared" si="0"/>
        <v>0</v>
      </c>
      <c r="M31">
        <f t="shared" si="1"/>
        <v>4.4958030487840137</v>
      </c>
      <c r="N31" s="20">
        <f t="shared" si="2"/>
        <v>0</v>
      </c>
    </row>
    <row r="32" spans="1:14">
      <c r="A32" s="1"/>
      <c r="B32" s="4"/>
      <c r="C32" s="1">
        <v>57</v>
      </c>
      <c r="D32" s="4">
        <v>5.8190000000000004E-3</v>
      </c>
      <c r="E32" s="55">
        <v>28</v>
      </c>
      <c r="F32" s="8">
        <f t="shared" si="3"/>
        <v>0.88498173235331534</v>
      </c>
      <c r="G32" s="8">
        <f t="shared" si="4"/>
        <v>0.92040380688428369</v>
      </c>
      <c r="H32" s="5"/>
      <c r="I32" s="5">
        <f t="shared" si="5"/>
        <v>0</v>
      </c>
      <c r="J32" s="2">
        <f t="shared" si="6"/>
        <v>0.25509363714308358</v>
      </c>
      <c r="K32" s="17">
        <f t="shared" si="0"/>
        <v>0</v>
      </c>
      <c r="M32">
        <f t="shared" si="1"/>
        <v>3.690533151842621</v>
      </c>
      <c r="N32" s="20">
        <f t="shared" si="2"/>
        <v>0</v>
      </c>
    </row>
    <row r="33" spans="1:18">
      <c r="A33" s="1"/>
      <c r="B33" s="4"/>
      <c r="C33" s="1">
        <v>58</v>
      </c>
      <c r="D33" s="4">
        <v>6.2839999999999997E-3</v>
      </c>
      <c r="E33" s="55">
        <v>29</v>
      </c>
      <c r="F33" s="8">
        <f t="shared" si="3"/>
        <v>0.88498173235331534</v>
      </c>
      <c r="G33" s="8">
        <f t="shared" si="4"/>
        <v>0.91461998936182287</v>
      </c>
      <c r="H33" s="5"/>
      <c r="I33" s="5">
        <f t="shared" si="5"/>
        <v>0</v>
      </c>
      <c r="J33" s="2">
        <f t="shared" si="6"/>
        <v>0.24294632108865097</v>
      </c>
      <c r="K33" s="17">
        <f t="shared" si="0"/>
        <v>0</v>
      </c>
      <c r="M33">
        <f t="shared" si="1"/>
        <v>2.8415950510367347</v>
      </c>
      <c r="N33" s="20">
        <f t="shared" si="2"/>
        <v>0</v>
      </c>
      <c r="Q33" s="42" t="s">
        <v>80</v>
      </c>
      <c r="R33" s="112">
        <v>60</v>
      </c>
    </row>
    <row r="34" spans="1:18">
      <c r="A34" s="1"/>
      <c r="B34" s="4"/>
      <c r="C34" s="1">
        <v>59</v>
      </c>
      <c r="D34" s="4">
        <v>6.8019999999999999E-3</v>
      </c>
      <c r="E34" s="55">
        <v>30</v>
      </c>
      <c r="F34" s="8">
        <f t="shared" si="3"/>
        <v>0.88498173235331534</v>
      </c>
      <c r="G34" s="8">
        <f t="shared" si="4"/>
        <v>0.90839874419418376</v>
      </c>
      <c r="H34" s="43"/>
      <c r="I34" s="5">
        <f t="shared" si="5"/>
        <v>0</v>
      </c>
      <c r="J34" s="2">
        <f t="shared" si="6"/>
        <v>0.23137744865585813</v>
      </c>
      <c r="K34" s="44">
        <f t="shared" si="0"/>
        <v>0</v>
      </c>
      <c r="M34">
        <f t="shared" si="1"/>
        <v>1.9459028571428572</v>
      </c>
      <c r="N34" s="20">
        <f t="shared" si="2"/>
        <v>0</v>
      </c>
      <c r="P34" t="s">
        <v>78</v>
      </c>
    </row>
    <row r="35" spans="1:18">
      <c r="A35" s="1"/>
      <c r="B35" s="4"/>
      <c r="C35" s="1"/>
      <c r="D35" s="4"/>
      <c r="E35" s="4"/>
      <c r="F35" s="8"/>
      <c r="G35" s="8"/>
      <c r="H35" s="43"/>
      <c r="I35" s="5"/>
      <c r="K35" s="44"/>
      <c r="M35" s="2">
        <f>IF(R33=60,1,IF(R33=59,0,error))</f>
        <v>1</v>
      </c>
      <c r="N35" s="20">
        <f t="shared" si="2"/>
        <v>0</v>
      </c>
      <c r="P35" t="s">
        <v>79</v>
      </c>
    </row>
    <row r="36" spans="1:18">
      <c r="A36" s="1"/>
      <c r="B36" s="4"/>
      <c r="C36" s="1"/>
      <c r="D36" s="4"/>
      <c r="E36" s="4"/>
      <c r="F36" s="88">
        <v>1.5</v>
      </c>
      <c r="G36" s="88">
        <v>1.5</v>
      </c>
      <c r="H36" s="88"/>
      <c r="I36" s="88">
        <v>1</v>
      </c>
      <c r="J36" s="88">
        <v>1</v>
      </c>
      <c r="K36" s="88">
        <v>2</v>
      </c>
      <c r="L36" s="89"/>
      <c r="M36" s="12">
        <v>2</v>
      </c>
      <c r="N36" s="12">
        <v>3</v>
      </c>
    </row>
    <row r="37" spans="1:18">
      <c r="B37" s="4"/>
      <c r="F37" s="89"/>
      <c r="G37" s="89"/>
      <c r="H37" s="89"/>
      <c r="I37" s="89"/>
      <c r="J37" s="89"/>
      <c r="K37" s="89"/>
      <c r="L37" s="89"/>
    </row>
    <row r="38" spans="1:18">
      <c r="B38" s="4"/>
      <c r="I38" s="43"/>
      <c r="K38" s="18">
        <f>SUM(K5:K34)</f>
        <v>5698.4022489827112</v>
      </c>
      <c r="N38" s="91">
        <f>SUM(N5:N34)</f>
        <v>3171.0948842872426</v>
      </c>
    </row>
    <row r="39" spans="1:18">
      <c r="B39" s="4"/>
      <c r="I39" s="53"/>
      <c r="K39" s="88">
        <v>1</v>
      </c>
      <c r="L39" s="89"/>
      <c r="M39" s="89"/>
      <c r="N39" s="90">
        <v>1</v>
      </c>
    </row>
    <row r="40" spans="1:18">
      <c r="B40" s="4"/>
      <c r="G40"/>
      <c r="H40"/>
      <c r="I40"/>
      <c r="J40"/>
      <c r="K40"/>
      <c r="L40"/>
    </row>
    <row r="41" spans="1:18">
      <c r="B41" s="4"/>
      <c r="G41"/>
      <c r="H41"/>
      <c r="I41"/>
      <c r="J41"/>
      <c r="K41"/>
      <c r="L41"/>
    </row>
    <row r="42" spans="1:18">
      <c r="B42" s="4"/>
    </row>
    <row r="43" spans="1:18">
      <c r="B43" s="4"/>
    </row>
    <row r="44" spans="1:18">
      <c r="B44" s="4"/>
    </row>
    <row r="45" spans="1:18">
      <c r="B45" s="4"/>
    </row>
    <row r="46" spans="1:18">
      <c r="B46" s="4"/>
    </row>
    <row r="47" spans="1:18">
      <c r="B47" s="4"/>
    </row>
    <row r="48" spans="1:18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0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RowHeight="12.75"/>
  <cols>
    <col min="9" max="9" width="9.7109375" customWidth="1"/>
    <col min="10" max="10" width="9.85546875" customWidth="1"/>
  </cols>
  <sheetData>
    <row r="1" spans="1:10" ht="25.5" customHeight="1">
      <c r="A1" s="21" t="s">
        <v>0</v>
      </c>
      <c r="B1" s="22" t="s">
        <v>87</v>
      </c>
      <c r="C1" s="22" t="s">
        <v>88</v>
      </c>
      <c r="D1" s="22" t="s">
        <v>89</v>
      </c>
      <c r="E1" s="33" t="s">
        <v>90</v>
      </c>
      <c r="F1" s="22" t="s">
        <v>91</v>
      </c>
      <c r="G1" s="22" t="s">
        <v>92</v>
      </c>
      <c r="H1" s="22" t="s">
        <v>93</v>
      </c>
      <c r="I1" s="22" t="s">
        <v>94</v>
      </c>
      <c r="J1" s="23" t="s">
        <v>95</v>
      </c>
    </row>
    <row r="2" spans="1:10">
      <c r="A2" s="24"/>
      <c r="B2" s="25"/>
      <c r="C2" s="25"/>
      <c r="D2" s="25"/>
      <c r="E2" s="34"/>
      <c r="F2" s="25"/>
      <c r="G2" s="25"/>
      <c r="H2" s="25"/>
      <c r="I2" s="25"/>
      <c r="J2" s="26"/>
    </row>
    <row r="3" spans="1:10">
      <c r="A3" s="27">
        <v>18</v>
      </c>
      <c r="B3" s="28">
        <v>100000</v>
      </c>
      <c r="C3" s="28">
        <v>50</v>
      </c>
      <c r="D3" s="28">
        <v>20000</v>
      </c>
      <c r="E3" s="45">
        <f t="shared" ref="E3:F33" si="0">C3/$B3</f>
        <v>5.0000000000000001E-4</v>
      </c>
      <c r="F3" s="46">
        <f t="shared" si="0"/>
        <v>0.2</v>
      </c>
      <c r="G3" s="46">
        <f>E3+F3</f>
        <v>0.20050000000000001</v>
      </c>
      <c r="H3" s="46">
        <f>1-G3</f>
        <v>0.79949999999999999</v>
      </c>
      <c r="I3" s="46">
        <f t="shared" ref="I3:J33" si="1">E3/$G3*-LN($H3)</f>
        <v>5.5802679977089316E-4</v>
      </c>
      <c r="J3" s="47">
        <f t="shared" si="1"/>
        <v>0.22321071990835728</v>
      </c>
    </row>
    <row r="4" spans="1:10">
      <c r="A4" s="27">
        <v>19</v>
      </c>
      <c r="B4" s="28">
        <f>B3-C3-D3</f>
        <v>79950</v>
      </c>
      <c r="C4" s="28">
        <v>44</v>
      </c>
      <c r="D4" s="28">
        <v>14000</v>
      </c>
      <c r="E4" s="45">
        <f t="shared" si="0"/>
        <v>5.5034396497811132E-4</v>
      </c>
      <c r="F4" s="46">
        <f t="shared" si="0"/>
        <v>0.17510944340212634</v>
      </c>
      <c r="G4" s="46">
        <f t="shared" ref="G4:G44" si="2">E4+F4</f>
        <v>0.17565978736710444</v>
      </c>
      <c r="H4" s="46">
        <f t="shared" ref="H4:H44" si="3">1-G4</f>
        <v>0.82434021263289559</v>
      </c>
      <c r="I4" s="46">
        <f t="shared" si="1"/>
        <v>6.0520977032915658E-4</v>
      </c>
      <c r="J4" s="47">
        <f t="shared" si="1"/>
        <v>0.19256674510473162</v>
      </c>
    </row>
    <row r="5" spans="1:10">
      <c r="A5" s="27">
        <v>20</v>
      </c>
      <c r="B5" s="28">
        <f t="shared" ref="B5:B44" si="4">B4-C4-D4</f>
        <v>65906</v>
      </c>
      <c r="C5" s="28">
        <v>39</v>
      </c>
      <c r="D5" s="28">
        <v>10000</v>
      </c>
      <c r="E5" s="45">
        <f t="shared" si="0"/>
        <v>5.9175188905410741E-4</v>
      </c>
      <c r="F5" s="46">
        <f t="shared" si="0"/>
        <v>0.15173125360361728</v>
      </c>
      <c r="G5" s="46">
        <f t="shared" si="2"/>
        <v>0.15232300549267139</v>
      </c>
      <c r="H5" s="46">
        <f t="shared" si="3"/>
        <v>0.84767699450732859</v>
      </c>
      <c r="I5" s="46">
        <f t="shared" si="1"/>
        <v>6.4199313873622638E-4</v>
      </c>
      <c r="J5" s="47">
        <f t="shared" si="1"/>
        <v>0.16461362531698112</v>
      </c>
    </row>
    <row r="6" spans="1:10">
      <c r="A6" s="27">
        <v>21</v>
      </c>
      <c r="B6" s="28">
        <f t="shared" si="4"/>
        <v>55867</v>
      </c>
      <c r="C6" s="28">
        <v>37</v>
      </c>
      <c r="D6" s="28">
        <v>8000</v>
      </c>
      <c r="E6" s="45">
        <f t="shared" si="0"/>
        <v>6.6228721785669537E-4</v>
      </c>
      <c r="F6" s="46">
        <f t="shared" si="0"/>
        <v>0.14319723629333952</v>
      </c>
      <c r="G6" s="46">
        <f t="shared" si="2"/>
        <v>0.14385952351119621</v>
      </c>
      <c r="H6" s="46">
        <f t="shared" si="3"/>
        <v>0.85614047648880376</v>
      </c>
      <c r="I6" s="46">
        <f t="shared" si="1"/>
        <v>7.1505162442556255E-4</v>
      </c>
      <c r="J6" s="47">
        <f t="shared" si="1"/>
        <v>0.15460575663255405</v>
      </c>
    </row>
    <row r="7" spans="1:10">
      <c r="A7" s="27">
        <v>22</v>
      </c>
      <c r="B7" s="28">
        <f t="shared" si="4"/>
        <v>47830</v>
      </c>
      <c r="C7" s="28">
        <v>35</v>
      </c>
      <c r="D7" s="28">
        <v>6500</v>
      </c>
      <c r="E7" s="45">
        <f t="shared" si="0"/>
        <v>7.3175831068367139E-4</v>
      </c>
      <c r="F7" s="46">
        <f t="shared" si="0"/>
        <v>0.13589797198411038</v>
      </c>
      <c r="G7" s="46">
        <f t="shared" si="2"/>
        <v>0.13662973029479406</v>
      </c>
      <c r="H7" s="46">
        <f t="shared" si="3"/>
        <v>0.86337026970520592</v>
      </c>
      <c r="I7" s="46">
        <f t="shared" si="1"/>
        <v>7.8682587070135932E-4</v>
      </c>
      <c r="J7" s="47">
        <f t="shared" si="1"/>
        <v>0.14612480455882385</v>
      </c>
    </row>
    <row r="8" spans="1:10">
      <c r="A8" s="27">
        <v>23</v>
      </c>
      <c r="B8" s="28">
        <f t="shared" si="4"/>
        <v>41295</v>
      </c>
      <c r="C8" s="28">
        <v>33</v>
      </c>
      <c r="D8" s="28">
        <v>5000</v>
      </c>
      <c r="E8" s="45">
        <f t="shared" si="0"/>
        <v>7.9912822375590266E-4</v>
      </c>
      <c r="F8" s="46">
        <f t="shared" si="0"/>
        <v>0.1210800339024095</v>
      </c>
      <c r="G8" s="46">
        <f t="shared" si="2"/>
        <v>0.1218791621261654</v>
      </c>
      <c r="H8" s="46">
        <f t="shared" si="3"/>
        <v>0.87812083787383455</v>
      </c>
      <c r="I8" s="46">
        <f t="shared" si="1"/>
        <v>8.5218461882556953E-4</v>
      </c>
      <c r="J8" s="47">
        <f t="shared" si="1"/>
        <v>0.12911888164023783</v>
      </c>
    </row>
    <row r="9" spans="1:10">
      <c r="A9" s="27">
        <v>24</v>
      </c>
      <c r="B9" s="28">
        <f t="shared" si="4"/>
        <v>36262</v>
      </c>
      <c r="C9" s="28">
        <v>32</v>
      </c>
      <c r="D9" s="28">
        <v>4000</v>
      </c>
      <c r="E9" s="45">
        <f t="shared" si="0"/>
        <v>8.824664938503116E-4</v>
      </c>
      <c r="F9" s="46">
        <f t="shared" si="0"/>
        <v>0.11030831173128895</v>
      </c>
      <c r="G9" s="46">
        <f t="shared" si="2"/>
        <v>0.11119077822513926</v>
      </c>
      <c r="H9" s="46">
        <f t="shared" si="3"/>
        <v>0.88880922177486077</v>
      </c>
      <c r="I9" s="46">
        <f t="shared" si="1"/>
        <v>9.3549734266881344E-4</v>
      </c>
      <c r="J9" s="47">
        <f t="shared" si="1"/>
        <v>0.1169371678336017</v>
      </c>
    </row>
    <row r="10" spans="1:10">
      <c r="A10" s="27">
        <v>25</v>
      </c>
      <c r="B10" s="28">
        <f t="shared" si="4"/>
        <v>32230</v>
      </c>
      <c r="C10" s="28">
        <v>31</v>
      </c>
      <c r="D10" s="28">
        <v>3000</v>
      </c>
      <c r="E10" s="45">
        <f t="shared" si="0"/>
        <v>9.6183679801427238E-4</v>
      </c>
      <c r="F10" s="46">
        <f t="shared" si="0"/>
        <v>9.3080980452994108E-2</v>
      </c>
      <c r="G10" s="46">
        <f t="shared" si="2"/>
        <v>9.4042817251008382E-2</v>
      </c>
      <c r="H10" s="46">
        <f t="shared" si="3"/>
        <v>0.90595718274899162</v>
      </c>
      <c r="I10" s="46">
        <f t="shared" si="1"/>
        <v>1.0101155543257299E-3</v>
      </c>
      <c r="J10" s="47">
        <f t="shared" si="1"/>
        <v>9.7753118160554514E-2</v>
      </c>
    </row>
    <row r="11" spans="1:10">
      <c r="A11" s="27">
        <v>26</v>
      </c>
      <c r="B11" s="28">
        <f t="shared" si="4"/>
        <v>29199</v>
      </c>
      <c r="C11" s="28">
        <v>31</v>
      </c>
      <c r="D11" s="28">
        <v>2500</v>
      </c>
      <c r="E11" s="45">
        <f t="shared" si="0"/>
        <v>1.0616801945272098E-3</v>
      </c>
      <c r="F11" s="46">
        <f t="shared" si="0"/>
        <v>8.5619370526387892E-2</v>
      </c>
      <c r="G11" s="46">
        <f t="shared" si="2"/>
        <v>8.6681050720915101E-2</v>
      </c>
      <c r="H11" s="46">
        <f t="shared" si="3"/>
        <v>0.91331894927908486</v>
      </c>
      <c r="I11" s="46">
        <f t="shared" si="1"/>
        <v>1.1105387744196895E-3</v>
      </c>
      <c r="J11" s="47">
        <f t="shared" si="1"/>
        <v>8.9559578582233026E-2</v>
      </c>
    </row>
    <row r="12" spans="1:10">
      <c r="A12" s="27">
        <v>27</v>
      </c>
      <c r="B12" s="28">
        <f t="shared" si="4"/>
        <v>26668</v>
      </c>
      <c r="C12" s="28">
        <v>31</v>
      </c>
      <c r="D12" s="28">
        <v>2000</v>
      </c>
      <c r="E12" s="45">
        <f t="shared" si="0"/>
        <v>1.1624418779061048E-3</v>
      </c>
      <c r="F12" s="46">
        <f t="shared" si="0"/>
        <v>7.4996250187490621E-2</v>
      </c>
      <c r="G12" s="46">
        <f t="shared" si="2"/>
        <v>7.615869206539673E-2</v>
      </c>
      <c r="H12" s="46">
        <f t="shared" si="3"/>
        <v>0.92384130793460328</v>
      </c>
      <c r="I12" s="46">
        <f t="shared" si="1"/>
        <v>1.2090910729901803E-3</v>
      </c>
      <c r="J12" s="47">
        <f t="shared" si="1"/>
        <v>7.8005875676785824E-2</v>
      </c>
    </row>
    <row r="13" spans="1:10">
      <c r="A13" s="27">
        <v>28</v>
      </c>
      <c r="B13" s="28">
        <f t="shared" si="4"/>
        <v>24637</v>
      </c>
      <c r="C13" s="28">
        <v>31</v>
      </c>
      <c r="D13" s="28">
        <v>1800</v>
      </c>
      <c r="E13" s="45">
        <f t="shared" si="0"/>
        <v>1.2582700815846086E-3</v>
      </c>
      <c r="F13" s="46">
        <f t="shared" si="0"/>
        <v>7.3060843446848239E-2</v>
      </c>
      <c r="G13" s="46">
        <f t="shared" si="2"/>
        <v>7.4319113528432845E-2</v>
      </c>
      <c r="H13" s="46">
        <f t="shared" si="3"/>
        <v>0.9256808864715671</v>
      </c>
      <c r="I13" s="46">
        <f t="shared" si="1"/>
        <v>1.3074807656455485E-3</v>
      </c>
      <c r="J13" s="47">
        <f t="shared" si="1"/>
        <v>7.5918238005225389E-2</v>
      </c>
    </row>
    <row r="14" spans="1:10">
      <c r="A14" s="27">
        <v>29</v>
      </c>
      <c r="B14" s="28">
        <f t="shared" si="4"/>
        <v>22806</v>
      </c>
      <c r="C14" s="28">
        <v>32</v>
      </c>
      <c r="D14" s="28">
        <v>1550</v>
      </c>
      <c r="E14" s="45">
        <f t="shared" si="0"/>
        <v>1.403139524686486E-3</v>
      </c>
      <c r="F14" s="46">
        <f t="shared" si="0"/>
        <v>6.7964570727001669E-2</v>
      </c>
      <c r="G14" s="46">
        <f t="shared" si="2"/>
        <v>6.9367710251688156E-2</v>
      </c>
      <c r="H14" s="46">
        <f t="shared" si="3"/>
        <v>0.9306322897483118</v>
      </c>
      <c r="I14" s="46">
        <f t="shared" si="1"/>
        <v>1.4541803772384972E-3</v>
      </c>
      <c r="J14" s="47">
        <f t="shared" si="1"/>
        <v>7.0436862022489707E-2</v>
      </c>
    </row>
    <row r="15" spans="1:10">
      <c r="A15" s="27">
        <v>30</v>
      </c>
      <c r="B15" s="28">
        <f t="shared" si="4"/>
        <v>21224</v>
      </c>
      <c r="C15" s="28">
        <v>32</v>
      </c>
      <c r="D15" s="28">
        <v>1300</v>
      </c>
      <c r="E15" s="45">
        <f t="shared" si="0"/>
        <v>1.5077271013946476E-3</v>
      </c>
      <c r="F15" s="46">
        <f t="shared" si="0"/>
        <v>6.125141349415756E-2</v>
      </c>
      <c r="G15" s="46">
        <f t="shared" si="2"/>
        <v>6.275914059555221E-2</v>
      </c>
      <c r="H15" s="46">
        <f t="shared" si="3"/>
        <v>0.93724085940444779</v>
      </c>
      <c r="I15" s="46">
        <f t="shared" si="1"/>
        <v>1.5571165401308449E-3</v>
      </c>
      <c r="J15" s="47">
        <f t="shared" si="1"/>
        <v>6.3257859442815575E-2</v>
      </c>
    </row>
    <row r="16" spans="1:10">
      <c r="A16" s="27">
        <v>31</v>
      </c>
      <c r="B16" s="28">
        <f t="shared" si="4"/>
        <v>19892</v>
      </c>
      <c r="C16" s="28">
        <v>33</v>
      </c>
      <c r="D16" s="28">
        <v>1200</v>
      </c>
      <c r="E16" s="45">
        <f t="shared" si="0"/>
        <v>1.6589583752262215E-3</v>
      </c>
      <c r="F16" s="46">
        <f t="shared" si="0"/>
        <v>6.0325759099135332E-2</v>
      </c>
      <c r="G16" s="46">
        <f t="shared" si="2"/>
        <v>6.1984717474361552E-2</v>
      </c>
      <c r="H16" s="46">
        <f t="shared" si="3"/>
        <v>0.93801528252563848</v>
      </c>
      <c r="I16" s="46">
        <f t="shared" si="1"/>
        <v>1.7126019752096871E-3</v>
      </c>
      <c r="J16" s="47">
        <f t="shared" si="1"/>
        <v>6.2276435462170446E-2</v>
      </c>
    </row>
    <row r="17" spans="1:10">
      <c r="A17" s="27">
        <v>32</v>
      </c>
      <c r="B17" s="28">
        <f t="shared" si="4"/>
        <v>18659</v>
      </c>
      <c r="C17" s="28">
        <v>34</v>
      </c>
      <c r="D17" s="28">
        <v>950</v>
      </c>
      <c r="E17" s="45">
        <f t="shared" si="0"/>
        <v>1.822176965539418E-3</v>
      </c>
      <c r="F17" s="46">
        <f t="shared" si="0"/>
        <v>5.0913768154777855E-2</v>
      </c>
      <c r="G17" s="46">
        <f t="shared" si="2"/>
        <v>5.2735945120317276E-2</v>
      </c>
      <c r="H17" s="46">
        <f t="shared" si="3"/>
        <v>0.94726405487968268</v>
      </c>
      <c r="I17" s="46">
        <f t="shared" si="1"/>
        <v>1.8719830442115533E-3</v>
      </c>
      <c r="J17" s="47">
        <f t="shared" si="1"/>
        <v>5.2305408588263984E-2</v>
      </c>
    </row>
    <row r="18" spans="1:10">
      <c r="A18" s="27">
        <v>33</v>
      </c>
      <c r="B18" s="28">
        <f t="shared" si="4"/>
        <v>17675</v>
      </c>
      <c r="C18" s="28">
        <v>35</v>
      </c>
      <c r="D18" s="28">
        <v>900</v>
      </c>
      <c r="E18" s="45">
        <f t="shared" si="0"/>
        <v>1.9801980198019802E-3</v>
      </c>
      <c r="F18" s="46">
        <f t="shared" si="0"/>
        <v>5.0919377652050922E-2</v>
      </c>
      <c r="G18" s="46">
        <f t="shared" si="2"/>
        <v>5.2899575671852904E-2</v>
      </c>
      <c r="H18" s="46">
        <f t="shared" si="3"/>
        <v>0.94710042432814712</v>
      </c>
      <c r="I18" s="46">
        <f t="shared" si="1"/>
        <v>2.0344974708510705E-3</v>
      </c>
      <c r="J18" s="47">
        <f t="shared" si="1"/>
        <v>5.2315649250456106E-2</v>
      </c>
    </row>
    <row r="19" spans="1:10">
      <c r="A19" s="27">
        <v>34</v>
      </c>
      <c r="B19" s="28">
        <f t="shared" si="4"/>
        <v>16740</v>
      </c>
      <c r="C19" s="28">
        <v>36</v>
      </c>
      <c r="D19" s="28">
        <v>850</v>
      </c>
      <c r="E19" s="45">
        <f t="shared" si="0"/>
        <v>2.1505376344086021E-3</v>
      </c>
      <c r="F19" s="46">
        <f t="shared" si="0"/>
        <v>5.0776583034647549E-2</v>
      </c>
      <c r="G19" s="46">
        <f t="shared" si="2"/>
        <v>5.2927120669056152E-2</v>
      </c>
      <c r="H19" s="46">
        <f t="shared" si="3"/>
        <v>0.94707287933094386</v>
      </c>
      <c r="I19" s="46">
        <f t="shared" si="1"/>
        <v>2.2095398456762356E-3</v>
      </c>
      <c r="J19" s="47">
        <f t="shared" si="1"/>
        <v>5.2169690800688888E-2</v>
      </c>
    </row>
    <row r="20" spans="1:10">
      <c r="A20" s="27">
        <v>35</v>
      </c>
      <c r="B20" s="28">
        <f t="shared" si="4"/>
        <v>15854</v>
      </c>
      <c r="C20" s="28">
        <v>37</v>
      </c>
      <c r="D20" s="28">
        <v>800</v>
      </c>
      <c r="E20" s="45">
        <f t="shared" si="0"/>
        <v>2.3337958874731931E-3</v>
      </c>
      <c r="F20" s="46">
        <f t="shared" si="0"/>
        <v>5.0460451621042006E-2</v>
      </c>
      <c r="G20" s="46">
        <f t="shared" si="2"/>
        <v>5.2794247508515198E-2</v>
      </c>
      <c r="H20" s="46">
        <f t="shared" si="3"/>
        <v>0.94720575249148475</v>
      </c>
      <c r="I20" s="46">
        <f t="shared" si="1"/>
        <v>2.397659311257298E-3</v>
      </c>
      <c r="J20" s="47">
        <f t="shared" si="1"/>
        <v>5.1841282405563197E-2</v>
      </c>
    </row>
    <row r="21" spans="1:10">
      <c r="A21" s="27">
        <v>36</v>
      </c>
      <c r="B21" s="28">
        <f t="shared" si="4"/>
        <v>15017</v>
      </c>
      <c r="C21" s="28">
        <v>38</v>
      </c>
      <c r="D21" s="28">
        <v>750</v>
      </c>
      <c r="E21" s="45">
        <f t="shared" si="0"/>
        <v>2.5304654724645401E-3</v>
      </c>
      <c r="F21" s="46">
        <f t="shared" si="0"/>
        <v>4.9943397482852765E-2</v>
      </c>
      <c r="G21" s="46">
        <f t="shared" si="2"/>
        <v>5.2473862955317307E-2</v>
      </c>
      <c r="H21" s="46">
        <f t="shared" si="3"/>
        <v>0.94752613704468269</v>
      </c>
      <c r="I21" s="46">
        <f t="shared" si="1"/>
        <v>2.5992750902466932E-3</v>
      </c>
      <c r="J21" s="47">
        <f t="shared" si="1"/>
        <v>5.1301482044342622E-2</v>
      </c>
    </row>
    <row r="22" spans="1:10">
      <c r="A22" s="27">
        <v>37</v>
      </c>
      <c r="B22" s="28">
        <f t="shared" si="4"/>
        <v>14229</v>
      </c>
      <c r="C22" s="28">
        <v>39</v>
      </c>
      <c r="D22" s="28">
        <v>700</v>
      </c>
      <c r="E22" s="45">
        <f t="shared" si="0"/>
        <v>2.7408812987560617E-3</v>
      </c>
      <c r="F22" s="46">
        <f t="shared" si="0"/>
        <v>4.9195305362288284E-2</v>
      </c>
      <c r="G22" s="46">
        <f t="shared" si="2"/>
        <v>5.1936186661044347E-2</v>
      </c>
      <c r="H22" s="46">
        <f t="shared" si="3"/>
        <v>0.94806381333895562</v>
      </c>
      <c r="I22" s="46">
        <f t="shared" si="1"/>
        <v>2.8146213104353248E-3</v>
      </c>
      <c r="J22" s="47">
        <f t="shared" si="1"/>
        <v>5.0518844033454545E-2</v>
      </c>
    </row>
    <row r="23" spans="1:10">
      <c r="A23" s="27">
        <v>38</v>
      </c>
      <c r="B23" s="28">
        <f t="shared" si="4"/>
        <v>13490</v>
      </c>
      <c r="C23" s="28">
        <v>40</v>
      </c>
      <c r="D23" s="28">
        <v>650</v>
      </c>
      <c r="E23" s="45">
        <f t="shared" si="0"/>
        <v>2.9651593773165306E-3</v>
      </c>
      <c r="F23" s="46">
        <f t="shared" si="0"/>
        <v>4.8183839881393624E-2</v>
      </c>
      <c r="G23" s="46">
        <f t="shared" si="2"/>
        <v>5.1148999258710151E-2</v>
      </c>
      <c r="H23" s="46">
        <f t="shared" si="3"/>
        <v>0.94885100074128981</v>
      </c>
      <c r="I23" s="46">
        <f t="shared" si="1"/>
        <v>3.0436811184981491E-3</v>
      </c>
      <c r="J23" s="47">
        <f t="shared" si="1"/>
        <v>4.9459818175594923E-2</v>
      </c>
    </row>
    <row r="24" spans="1:10">
      <c r="A24" s="27">
        <v>39</v>
      </c>
      <c r="B24" s="28">
        <f t="shared" si="4"/>
        <v>12800</v>
      </c>
      <c r="C24" s="28">
        <v>41</v>
      </c>
      <c r="D24" s="28">
        <v>610</v>
      </c>
      <c r="E24" s="45">
        <f t="shared" si="0"/>
        <v>3.2031249999999998E-3</v>
      </c>
      <c r="F24" s="46">
        <f t="shared" si="0"/>
        <v>4.7656249999999997E-2</v>
      </c>
      <c r="G24" s="46">
        <f t="shared" si="2"/>
        <v>5.0859374999999998E-2</v>
      </c>
      <c r="H24" s="46">
        <f t="shared" si="3"/>
        <v>0.94914062499999996</v>
      </c>
      <c r="I24" s="46">
        <f t="shared" si="1"/>
        <v>3.2874511077905133E-3</v>
      </c>
      <c r="J24" s="47">
        <f t="shared" si="1"/>
        <v>4.8910857945175933E-2</v>
      </c>
    </row>
    <row r="25" spans="1:10">
      <c r="A25" s="27">
        <v>40</v>
      </c>
      <c r="B25" s="28">
        <f t="shared" si="4"/>
        <v>12149</v>
      </c>
      <c r="C25" s="28">
        <v>41</v>
      </c>
      <c r="D25" s="28">
        <v>570</v>
      </c>
      <c r="E25" s="45">
        <f t="shared" si="0"/>
        <v>3.3747633550086425E-3</v>
      </c>
      <c r="F25" s="46">
        <f t="shared" si="0"/>
        <v>4.6917441764754299E-2</v>
      </c>
      <c r="G25" s="46">
        <f t="shared" si="2"/>
        <v>5.0292205119762942E-2</v>
      </c>
      <c r="H25" s="46">
        <f t="shared" si="3"/>
        <v>0.94970779488023704</v>
      </c>
      <c r="I25" s="46">
        <f t="shared" si="1"/>
        <v>3.4625825982883855E-3</v>
      </c>
      <c r="J25" s="47">
        <f t="shared" si="1"/>
        <v>4.8138343439619015E-2</v>
      </c>
    </row>
    <row r="26" spans="1:10">
      <c r="A26" s="27">
        <v>41</v>
      </c>
      <c r="B26" s="28">
        <f t="shared" si="4"/>
        <v>11538</v>
      </c>
      <c r="C26" s="28">
        <v>42</v>
      </c>
      <c r="D26" s="28">
        <v>530</v>
      </c>
      <c r="E26" s="45">
        <f t="shared" si="0"/>
        <v>3.6401456058242328E-3</v>
      </c>
      <c r="F26" s="46">
        <f t="shared" si="0"/>
        <v>4.5935170740162942E-2</v>
      </c>
      <c r="G26" s="46">
        <f t="shared" si="2"/>
        <v>4.9575316345987178E-2</v>
      </c>
      <c r="H26" s="46">
        <f t="shared" si="3"/>
        <v>0.95042468365401278</v>
      </c>
      <c r="I26" s="46">
        <f t="shared" si="1"/>
        <v>3.7334739017820312E-3</v>
      </c>
      <c r="J26" s="47">
        <f t="shared" si="1"/>
        <v>4.7112884951058975E-2</v>
      </c>
    </row>
    <row r="27" spans="1:10">
      <c r="A27" s="27">
        <v>42</v>
      </c>
      <c r="B27" s="28">
        <f t="shared" si="4"/>
        <v>10966</v>
      </c>
      <c r="C27" s="28">
        <v>43</v>
      </c>
      <c r="D27" s="28">
        <v>500</v>
      </c>
      <c r="E27" s="45">
        <f t="shared" si="0"/>
        <v>3.9212110158672259E-3</v>
      </c>
      <c r="F27" s="46">
        <f t="shared" si="0"/>
        <v>4.5595476928688677E-2</v>
      </c>
      <c r="G27" s="46">
        <f t="shared" si="2"/>
        <v>4.9516687944555902E-2</v>
      </c>
      <c r="H27" s="46">
        <f t="shared" si="3"/>
        <v>0.95048331205544412</v>
      </c>
      <c r="I27" s="46">
        <f t="shared" si="1"/>
        <v>4.0216224524141303E-3</v>
      </c>
      <c r="J27" s="47">
        <f t="shared" si="1"/>
        <v>4.6763051772257334E-2</v>
      </c>
    </row>
    <row r="28" spans="1:10">
      <c r="A28" s="27">
        <v>43</v>
      </c>
      <c r="B28" s="28">
        <f t="shared" si="4"/>
        <v>10423</v>
      </c>
      <c r="C28" s="28">
        <v>44</v>
      </c>
      <c r="D28" s="28">
        <v>470</v>
      </c>
      <c r="E28" s="45">
        <f t="shared" si="0"/>
        <v>4.221433368511945E-3</v>
      </c>
      <c r="F28" s="46">
        <f t="shared" si="0"/>
        <v>4.5092583709104864E-2</v>
      </c>
      <c r="G28" s="46">
        <f t="shared" si="2"/>
        <v>4.931401707761681E-2</v>
      </c>
      <c r="H28" s="46">
        <f t="shared" si="3"/>
        <v>0.95068598292238315</v>
      </c>
      <c r="I28" s="46">
        <f t="shared" si="1"/>
        <v>4.3290750543552746E-3</v>
      </c>
      <c r="J28" s="47">
        <f t="shared" si="1"/>
        <v>4.6242392626067705E-2</v>
      </c>
    </row>
    <row r="29" spans="1:10">
      <c r="A29" s="27">
        <v>44</v>
      </c>
      <c r="B29" s="28">
        <f t="shared" si="4"/>
        <v>9909</v>
      </c>
      <c r="C29" s="28">
        <v>44</v>
      </c>
      <c r="D29" s="28">
        <v>440</v>
      </c>
      <c r="E29" s="45">
        <f t="shared" si="0"/>
        <v>4.4404077101624787E-3</v>
      </c>
      <c r="F29" s="46">
        <f t="shared" si="0"/>
        <v>4.4404077101624785E-2</v>
      </c>
      <c r="G29" s="46">
        <f t="shared" si="2"/>
        <v>4.8844484811787263E-2</v>
      </c>
      <c r="H29" s="46">
        <f t="shared" si="3"/>
        <v>0.95115551518821273</v>
      </c>
      <c r="I29" s="46">
        <f t="shared" si="1"/>
        <v>4.5525183402443494E-3</v>
      </c>
      <c r="J29" s="47">
        <f t="shared" si="1"/>
        <v>4.5525183402443485E-2</v>
      </c>
    </row>
    <row r="30" spans="1:10">
      <c r="A30" s="27">
        <v>45</v>
      </c>
      <c r="B30" s="28">
        <f t="shared" si="4"/>
        <v>9425</v>
      </c>
      <c r="C30" s="28">
        <v>45</v>
      </c>
      <c r="D30" s="28">
        <v>410</v>
      </c>
      <c r="E30" s="45">
        <f t="shared" si="0"/>
        <v>4.7745358090185673E-3</v>
      </c>
      <c r="F30" s="46">
        <f t="shared" si="0"/>
        <v>4.3501326259946953E-2</v>
      </c>
      <c r="G30" s="46">
        <f t="shared" si="2"/>
        <v>4.8275862068965517E-2</v>
      </c>
      <c r="H30" s="46">
        <f t="shared" si="3"/>
        <v>0.9517241379310345</v>
      </c>
      <c r="I30" s="46">
        <f t="shared" si="1"/>
        <v>4.8936320370365632E-3</v>
      </c>
      <c r="J30" s="47">
        <f t="shared" si="1"/>
        <v>4.4586425226333139E-2</v>
      </c>
    </row>
    <row r="31" spans="1:10">
      <c r="A31" s="27">
        <v>46</v>
      </c>
      <c r="B31" s="28">
        <f t="shared" si="4"/>
        <v>8970</v>
      </c>
      <c r="C31" s="28">
        <v>45</v>
      </c>
      <c r="D31" s="28">
        <v>380</v>
      </c>
      <c r="E31" s="45">
        <f t="shared" si="0"/>
        <v>5.016722408026756E-3</v>
      </c>
      <c r="F31" s="46">
        <f t="shared" si="0"/>
        <v>4.2363433667781496E-2</v>
      </c>
      <c r="G31" s="46">
        <f t="shared" si="2"/>
        <v>4.7380156075808255E-2</v>
      </c>
      <c r="H31" s="46">
        <f t="shared" si="3"/>
        <v>0.95261984392419174</v>
      </c>
      <c r="I31" s="46">
        <f t="shared" si="1"/>
        <v>5.1394615944512336E-3</v>
      </c>
      <c r="J31" s="47">
        <f t="shared" si="1"/>
        <v>4.339989790869931E-2</v>
      </c>
    </row>
    <row r="32" spans="1:10">
      <c r="A32" s="27">
        <v>47</v>
      </c>
      <c r="B32" s="28">
        <f t="shared" si="4"/>
        <v>8545</v>
      </c>
      <c r="C32" s="28">
        <v>45</v>
      </c>
      <c r="D32" s="28">
        <v>350</v>
      </c>
      <c r="E32" s="45">
        <f t="shared" si="0"/>
        <v>5.2662375658279695E-3</v>
      </c>
      <c r="F32" s="46">
        <f t="shared" si="0"/>
        <v>4.0959625511995321E-2</v>
      </c>
      <c r="G32" s="46">
        <f t="shared" si="2"/>
        <v>4.6225863077823288E-2</v>
      </c>
      <c r="H32" s="46">
        <f t="shared" si="3"/>
        <v>0.95377413692217672</v>
      </c>
      <c r="I32" s="46">
        <f t="shared" si="1"/>
        <v>5.3918418206714653E-3</v>
      </c>
      <c r="J32" s="47">
        <f t="shared" si="1"/>
        <v>4.1936547494111402E-2</v>
      </c>
    </row>
    <row r="33" spans="1:10">
      <c r="A33" s="27">
        <v>48</v>
      </c>
      <c r="B33" s="28">
        <f t="shared" si="4"/>
        <v>8150</v>
      </c>
      <c r="C33" s="28">
        <v>46</v>
      </c>
      <c r="D33" s="28">
        <v>320</v>
      </c>
      <c r="E33" s="45">
        <f t="shared" si="0"/>
        <v>5.644171779141104E-3</v>
      </c>
      <c r="F33" s="46">
        <f t="shared" si="0"/>
        <v>3.9263803680981597E-2</v>
      </c>
      <c r="G33" s="46">
        <f t="shared" si="2"/>
        <v>4.49079754601227E-2</v>
      </c>
      <c r="H33" s="46">
        <f t="shared" si="3"/>
        <v>0.95509202453987729</v>
      </c>
      <c r="I33" s="46">
        <f t="shared" si="1"/>
        <v>5.7748327567680351E-3</v>
      </c>
      <c r="J33" s="47">
        <f t="shared" si="1"/>
        <v>4.0172749612299379E-2</v>
      </c>
    </row>
    <row r="34" spans="1:10">
      <c r="A34" s="27">
        <v>49</v>
      </c>
      <c r="B34" s="28">
        <f t="shared" si="4"/>
        <v>7784</v>
      </c>
      <c r="C34" s="28">
        <v>46</v>
      </c>
      <c r="D34" s="28">
        <v>280</v>
      </c>
      <c r="E34" s="45">
        <f t="shared" ref="E34:F44" si="5">C34/$B34</f>
        <v>5.9095580678314493E-3</v>
      </c>
      <c r="F34" s="46">
        <f t="shared" si="5"/>
        <v>3.5971223021582732E-2</v>
      </c>
      <c r="G34" s="46">
        <f t="shared" si="2"/>
        <v>4.1880781089414183E-2</v>
      </c>
      <c r="H34" s="46">
        <f t="shared" si="3"/>
        <v>0.95811921891058582</v>
      </c>
      <c r="I34" s="46">
        <f t="shared" ref="I34:J44" si="6">E34/$G34*-LN($H34)</f>
        <v>6.0368739381762076E-3</v>
      </c>
      <c r="J34" s="47">
        <f t="shared" si="6"/>
        <v>3.6746189188898659E-2</v>
      </c>
    </row>
    <row r="35" spans="1:10">
      <c r="A35" s="27">
        <v>50</v>
      </c>
      <c r="B35" s="28">
        <f t="shared" si="4"/>
        <v>7458</v>
      </c>
      <c r="C35" s="28">
        <v>46</v>
      </c>
      <c r="D35" s="28">
        <v>450</v>
      </c>
      <c r="E35" s="45">
        <f t="shared" si="5"/>
        <v>6.1678734245105924E-3</v>
      </c>
      <c r="F35" s="46">
        <f t="shared" si="5"/>
        <v>6.0337892196299273E-2</v>
      </c>
      <c r="G35" s="46">
        <f t="shared" si="2"/>
        <v>6.650576562080987E-2</v>
      </c>
      <c r="H35" s="46">
        <f t="shared" si="3"/>
        <v>0.9334942343791901</v>
      </c>
      <c r="I35" s="46">
        <f t="shared" si="6"/>
        <v>6.3825456631039692E-3</v>
      </c>
      <c r="J35" s="47">
        <f t="shared" si="6"/>
        <v>6.2437946704277957E-2</v>
      </c>
    </row>
    <row r="36" spans="1:10">
      <c r="A36" s="27">
        <v>51</v>
      </c>
      <c r="B36" s="28">
        <f t="shared" si="4"/>
        <v>6962</v>
      </c>
      <c r="C36" s="28">
        <v>46</v>
      </c>
      <c r="D36" s="28">
        <v>280</v>
      </c>
      <c r="E36" s="45">
        <f t="shared" si="5"/>
        <v>6.6072967538063779E-3</v>
      </c>
      <c r="F36" s="46">
        <f t="shared" si="5"/>
        <v>4.0218328066647518E-2</v>
      </c>
      <c r="G36" s="46">
        <f t="shared" si="2"/>
        <v>4.6825624820453896E-2</v>
      </c>
      <c r="H36" s="46">
        <f t="shared" si="3"/>
        <v>0.95317437517954606</v>
      </c>
      <c r="I36" s="46">
        <f t="shared" si="6"/>
        <v>6.766997499411842E-3</v>
      </c>
      <c r="J36" s="47">
        <f t="shared" si="6"/>
        <v>4.1190419561637305E-2</v>
      </c>
    </row>
    <row r="37" spans="1:10">
      <c r="A37" s="27">
        <v>52</v>
      </c>
      <c r="B37" s="28">
        <f t="shared" si="4"/>
        <v>6636</v>
      </c>
      <c r="C37" s="28">
        <v>45</v>
      </c>
      <c r="D37" s="28">
        <v>250</v>
      </c>
      <c r="E37" s="45">
        <f t="shared" si="5"/>
        <v>6.7811934900542494E-3</v>
      </c>
      <c r="F37" s="46">
        <f t="shared" si="5"/>
        <v>3.7673297166968052E-2</v>
      </c>
      <c r="G37" s="46">
        <f t="shared" si="2"/>
        <v>4.4454490657022304E-2</v>
      </c>
      <c r="H37" s="46">
        <f t="shared" si="3"/>
        <v>0.95554550934297766</v>
      </c>
      <c r="I37" s="46">
        <f t="shared" si="6"/>
        <v>6.9365421778429101E-3</v>
      </c>
      <c r="J37" s="47">
        <f t="shared" si="6"/>
        <v>3.8536345432460616E-2</v>
      </c>
    </row>
    <row r="38" spans="1:10">
      <c r="A38" s="27">
        <v>53</v>
      </c>
      <c r="B38" s="28">
        <f t="shared" si="4"/>
        <v>6341</v>
      </c>
      <c r="C38" s="28">
        <v>45</v>
      </c>
      <c r="D38" s="28">
        <v>220</v>
      </c>
      <c r="E38" s="45">
        <f t="shared" si="5"/>
        <v>7.0966724491405139E-3</v>
      </c>
      <c r="F38" s="46">
        <f t="shared" si="5"/>
        <v>3.4694843084686955E-2</v>
      </c>
      <c r="G38" s="46">
        <f t="shared" si="2"/>
        <v>4.179151553382747E-2</v>
      </c>
      <c r="H38" s="46">
        <f t="shared" si="3"/>
        <v>0.95820848446617257</v>
      </c>
      <c r="I38" s="46">
        <f t="shared" si="6"/>
        <v>7.2492282992323194E-3</v>
      </c>
      <c r="J38" s="47">
        <f t="shared" si="6"/>
        <v>3.5440671685135774E-2</v>
      </c>
    </row>
    <row r="39" spans="1:10">
      <c r="A39" s="27">
        <v>54</v>
      </c>
      <c r="B39" s="28">
        <f t="shared" si="4"/>
        <v>6076</v>
      </c>
      <c r="C39" s="28">
        <v>45</v>
      </c>
      <c r="D39" s="28">
        <v>190</v>
      </c>
      <c r="E39" s="45">
        <f t="shared" si="5"/>
        <v>7.4061882817643187E-3</v>
      </c>
      <c r="F39" s="46">
        <f t="shared" si="5"/>
        <v>3.1270572745227126E-2</v>
      </c>
      <c r="G39" s="46">
        <f t="shared" si="2"/>
        <v>3.8676761026991448E-2</v>
      </c>
      <c r="H39" s="46">
        <f t="shared" si="3"/>
        <v>0.96132323897300853</v>
      </c>
      <c r="I39" s="46">
        <f t="shared" si="6"/>
        <v>7.5532154697486613E-3</v>
      </c>
      <c r="J39" s="47">
        <f t="shared" si="6"/>
        <v>3.189135420560546E-2</v>
      </c>
    </row>
    <row r="40" spans="1:10">
      <c r="A40" s="27">
        <v>55</v>
      </c>
      <c r="B40" s="28">
        <f t="shared" si="4"/>
        <v>5841</v>
      </c>
      <c r="C40" s="28">
        <v>45</v>
      </c>
      <c r="D40" s="28">
        <v>170</v>
      </c>
      <c r="E40" s="45">
        <f t="shared" si="5"/>
        <v>7.7041602465331279E-3</v>
      </c>
      <c r="F40" s="46">
        <f t="shared" si="5"/>
        <v>2.9104605375791816E-2</v>
      </c>
      <c r="G40" s="46">
        <f t="shared" si="2"/>
        <v>3.6808765622324942E-2</v>
      </c>
      <c r="H40" s="46">
        <f t="shared" si="3"/>
        <v>0.96319123437767507</v>
      </c>
      <c r="I40" s="46">
        <f t="shared" si="6"/>
        <v>7.8495289515015092E-3</v>
      </c>
      <c r="J40" s="47">
        <f t="shared" si="6"/>
        <v>2.9653776039005705E-2</v>
      </c>
    </row>
    <row r="41" spans="1:10">
      <c r="A41" s="27">
        <v>56</v>
      </c>
      <c r="B41" s="28">
        <f t="shared" si="4"/>
        <v>5626</v>
      </c>
      <c r="C41" s="28">
        <v>46</v>
      </c>
      <c r="D41" s="28">
        <v>150</v>
      </c>
      <c r="E41" s="45">
        <f t="shared" si="5"/>
        <v>8.1763242090295059E-3</v>
      </c>
      <c r="F41" s="46">
        <f t="shared" si="5"/>
        <v>2.6661926768574477E-2</v>
      </c>
      <c r="G41" s="46">
        <f t="shared" si="2"/>
        <v>3.4838250977603985E-2</v>
      </c>
      <c r="H41" s="46">
        <f t="shared" si="3"/>
        <v>0.96516174902239604</v>
      </c>
      <c r="I41" s="46">
        <f t="shared" si="6"/>
        <v>8.3221454163457474E-3</v>
      </c>
      <c r="J41" s="47">
        <f t="shared" si="6"/>
        <v>2.7137430705475262E-2</v>
      </c>
    </row>
    <row r="42" spans="1:10">
      <c r="A42" s="27">
        <v>57</v>
      </c>
      <c r="B42" s="28">
        <f t="shared" si="4"/>
        <v>5430</v>
      </c>
      <c r="C42" s="28">
        <v>46</v>
      </c>
      <c r="D42" s="28">
        <v>160</v>
      </c>
      <c r="E42" s="45">
        <f t="shared" si="5"/>
        <v>8.4714548802946599E-3</v>
      </c>
      <c r="F42" s="46">
        <f t="shared" si="5"/>
        <v>2.9465930018416207E-2</v>
      </c>
      <c r="G42" s="46">
        <f t="shared" si="2"/>
        <v>3.7937384898710867E-2</v>
      </c>
      <c r="H42" s="46">
        <f t="shared" si="3"/>
        <v>0.9620626151012891</v>
      </c>
      <c r="I42" s="46">
        <f t="shared" si="6"/>
        <v>8.6363307315478234E-3</v>
      </c>
      <c r="J42" s="47">
        <f t="shared" si="6"/>
        <v>3.0039411240166344E-2</v>
      </c>
    </row>
    <row r="43" spans="1:10">
      <c r="A43" s="27">
        <v>58</v>
      </c>
      <c r="B43" s="28">
        <f t="shared" si="4"/>
        <v>5224</v>
      </c>
      <c r="C43" s="28">
        <v>47</v>
      </c>
      <c r="D43" s="28">
        <v>180</v>
      </c>
      <c r="E43" s="45">
        <f t="shared" si="5"/>
        <v>8.9969372128637058E-3</v>
      </c>
      <c r="F43" s="46">
        <f t="shared" si="5"/>
        <v>3.4456355283307809E-2</v>
      </c>
      <c r="G43" s="46">
        <f t="shared" si="2"/>
        <v>4.3453292496171511E-2</v>
      </c>
      <c r="H43" s="46">
        <f t="shared" si="3"/>
        <v>0.95654670750382853</v>
      </c>
      <c r="I43" s="46">
        <f t="shared" si="6"/>
        <v>9.1982643249643656E-3</v>
      </c>
      <c r="J43" s="47">
        <f t="shared" si="6"/>
        <v>3.522739528709757E-2</v>
      </c>
    </row>
    <row r="44" spans="1:10">
      <c r="A44" s="27">
        <v>59</v>
      </c>
      <c r="B44" s="28">
        <f t="shared" si="4"/>
        <v>4997</v>
      </c>
      <c r="C44" s="28">
        <v>48</v>
      </c>
      <c r="D44" s="28">
        <v>200</v>
      </c>
      <c r="E44" s="45">
        <f t="shared" si="5"/>
        <v>9.6057634580748452E-3</v>
      </c>
      <c r="F44" s="46">
        <f t="shared" si="5"/>
        <v>4.0024014408645184E-2</v>
      </c>
      <c r="G44" s="46">
        <f t="shared" si="2"/>
        <v>4.9629777866720029E-2</v>
      </c>
      <c r="H44" s="46">
        <f t="shared" si="3"/>
        <v>0.95037022213327993</v>
      </c>
      <c r="I44" s="46">
        <f t="shared" si="6"/>
        <v>9.8523218313064289E-3</v>
      </c>
      <c r="J44" s="47">
        <f t="shared" si="6"/>
        <v>4.1051340963776779E-2</v>
      </c>
    </row>
    <row r="45" spans="1:10" ht="13.5" thickBot="1">
      <c r="A45" s="30">
        <v>60</v>
      </c>
      <c r="B45" s="31">
        <f>B44-C44-D44</f>
        <v>4749</v>
      </c>
      <c r="C45" s="31">
        <v>49</v>
      </c>
      <c r="D45" s="31">
        <v>2000</v>
      </c>
      <c r="E45" s="48">
        <f>C45/$B45</f>
        <v>1.0317961676142346E-2</v>
      </c>
      <c r="F45" s="49">
        <f>D45/$B45</f>
        <v>0.42114129290376923</v>
      </c>
      <c r="G45" s="49">
        <f>E45+F45</f>
        <v>0.43145925457991158</v>
      </c>
      <c r="H45" s="49">
        <f>1-G45</f>
        <v>0.56854074542008837</v>
      </c>
      <c r="I45" s="49">
        <f>E45/$G45*-LN($H45)</f>
        <v>1.3503871415948452E-2</v>
      </c>
      <c r="J45" s="50">
        <f>F45/$G45*-LN($H45)</f>
        <v>0.5511784251407531</v>
      </c>
    </row>
    <row r="47" spans="1:10">
      <c r="A47" s="1"/>
      <c r="B47" s="14"/>
      <c r="C47" s="14"/>
      <c r="E47" s="13">
        <v>2</v>
      </c>
      <c r="F47" s="13">
        <v>1</v>
      </c>
      <c r="G47" s="13"/>
      <c r="H47" s="13">
        <v>2</v>
      </c>
      <c r="I47" s="13">
        <v>3</v>
      </c>
      <c r="J47" s="13">
        <v>2</v>
      </c>
    </row>
    <row r="48" spans="1:10">
      <c r="A48" s="1"/>
      <c r="B48" s="14"/>
      <c r="C48" s="14"/>
    </row>
    <row r="49" spans="1:3">
      <c r="A49" s="1"/>
      <c r="B49" s="14"/>
      <c r="C49" s="14"/>
    </row>
    <row r="50" spans="1:3">
      <c r="A50" s="1"/>
      <c r="B50" s="14"/>
      <c r="C50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1"/>
  <sheetViews>
    <sheetView zoomScale="90" zoomScaleNormal="90" workbookViewId="0">
      <pane ySplit="1" topLeftCell="A2" activePane="bottomLeft" state="frozen"/>
      <selection activeCell="E1" sqref="E1"/>
      <selection pane="bottomLeft" activeCell="A2" sqref="A2"/>
    </sheetView>
  </sheetViews>
  <sheetFormatPr defaultRowHeight="12.75"/>
  <cols>
    <col min="9" max="9" width="9.7109375" customWidth="1"/>
    <col min="10" max="10" width="9.85546875" customWidth="1"/>
    <col min="13" max="13" width="9.5703125" customWidth="1"/>
    <col min="14" max="14" width="11" bestFit="1" customWidth="1"/>
    <col min="15" max="15" width="9.85546875" customWidth="1"/>
    <col min="16" max="19" width="11" bestFit="1" customWidth="1"/>
    <col min="20" max="20" width="10" customWidth="1"/>
    <col min="21" max="22" width="11" bestFit="1" customWidth="1"/>
    <col min="23" max="23" width="14.5703125" bestFit="1" customWidth="1"/>
  </cols>
  <sheetData>
    <row r="1" spans="1:23" ht="42" customHeight="1">
      <c r="A1" s="21" t="s">
        <v>0</v>
      </c>
      <c r="B1" s="22" t="s">
        <v>87</v>
      </c>
      <c r="C1" s="22" t="s">
        <v>88</v>
      </c>
      <c r="D1" s="22" t="s">
        <v>89</v>
      </c>
      <c r="E1" s="33" t="s">
        <v>90</v>
      </c>
      <c r="F1" s="22" t="s">
        <v>91</v>
      </c>
      <c r="G1" s="22" t="s">
        <v>92</v>
      </c>
      <c r="H1" s="22" t="s">
        <v>93</v>
      </c>
      <c r="I1" s="22" t="s">
        <v>94</v>
      </c>
      <c r="J1" s="23" t="s">
        <v>95</v>
      </c>
      <c r="K1" t="s">
        <v>8</v>
      </c>
      <c r="L1" s="35" t="s">
        <v>20</v>
      </c>
      <c r="M1" s="36" t="s">
        <v>96</v>
      </c>
      <c r="N1" s="36" t="s">
        <v>97</v>
      </c>
      <c r="O1" s="115" t="s">
        <v>95</v>
      </c>
      <c r="P1" s="38" t="s">
        <v>98</v>
      </c>
      <c r="Q1" s="36" t="s">
        <v>99</v>
      </c>
      <c r="R1" s="35" t="s">
        <v>100</v>
      </c>
      <c r="S1" s="35" t="s">
        <v>101</v>
      </c>
      <c r="T1" s="35" t="s">
        <v>21</v>
      </c>
      <c r="U1" s="35" t="s">
        <v>9</v>
      </c>
      <c r="V1" s="10" t="s">
        <v>5</v>
      </c>
      <c r="W1" s="10" t="s">
        <v>6</v>
      </c>
    </row>
    <row r="2" spans="1:23">
      <c r="A2" s="24"/>
      <c r="B2" s="25"/>
      <c r="C2" s="25"/>
      <c r="D2" s="26"/>
      <c r="E2" s="34"/>
      <c r="F2" s="25"/>
      <c r="G2" s="25"/>
      <c r="H2" s="25"/>
      <c r="I2" s="25"/>
      <c r="J2" s="26"/>
      <c r="M2" s="25"/>
      <c r="N2" s="25"/>
      <c r="O2" s="25"/>
      <c r="P2" s="25"/>
      <c r="Q2" s="25"/>
      <c r="V2" s="15">
        <v>0.05</v>
      </c>
      <c r="W2" s="16">
        <v>100000</v>
      </c>
    </row>
    <row r="3" spans="1:23">
      <c r="A3" s="27">
        <v>18</v>
      </c>
      <c r="B3" s="28">
        <v>100000</v>
      </c>
      <c r="C3" s="28">
        <v>50</v>
      </c>
      <c r="D3" s="29">
        <v>20000</v>
      </c>
      <c r="E3" s="45">
        <f t="shared" ref="E3:E33" si="0">C3/$B3</f>
        <v>5.0000000000000001E-4</v>
      </c>
      <c r="F3" s="46">
        <f t="shared" ref="F3:F33" si="1">D3/$B3</f>
        <v>0.2</v>
      </c>
      <c r="G3" s="46">
        <f>E3+F3</f>
        <v>0.20050000000000001</v>
      </c>
      <c r="H3" s="46">
        <f>1-G3</f>
        <v>0.79949999999999999</v>
      </c>
      <c r="I3" s="46">
        <f t="shared" ref="I3:I33" si="2">E3/$G3*-LN($H3)</f>
        <v>5.5802679977089316E-4</v>
      </c>
      <c r="J3" s="47">
        <f t="shared" ref="J3:J33" si="3">F3/$G3*-LN($H3)</f>
        <v>0.22321071990835728</v>
      </c>
      <c r="M3" s="25"/>
      <c r="N3" s="25"/>
      <c r="O3" s="25"/>
      <c r="P3" s="25"/>
      <c r="Q3" s="25"/>
      <c r="V3" s="2"/>
    </row>
    <row r="4" spans="1:23">
      <c r="A4" s="27">
        <v>19</v>
      </c>
      <c r="B4" s="28">
        <f>B3-C3-D3</f>
        <v>79950</v>
      </c>
      <c r="C4" s="28">
        <v>44</v>
      </c>
      <c r="D4" s="29">
        <v>14000</v>
      </c>
      <c r="E4" s="45">
        <f t="shared" si="0"/>
        <v>5.5034396497811132E-4</v>
      </c>
      <c r="F4" s="46">
        <f t="shared" si="1"/>
        <v>0.17510944340212634</v>
      </c>
      <c r="G4" s="46">
        <f t="shared" ref="G4:G44" si="4">E4+F4</f>
        <v>0.17565978736710444</v>
      </c>
      <c r="H4" s="46">
        <f t="shared" ref="H4:H44" si="5">1-G4</f>
        <v>0.82434021263289559</v>
      </c>
      <c r="I4" s="46">
        <f t="shared" si="2"/>
        <v>6.0520977032915658E-4</v>
      </c>
      <c r="J4" s="47">
        <f t="shared" si="3"/>
        <v>0.19256674510473162</v>
      </c>
      <c r="M4" s="25"/>
      <c r="N4" s="25"/>
      <c r="O4" s="25"/>
      <c r="P4" s="25"/>
      <c r="Q4" s="25"/>
      <c r="V4" s="2"/>
    </row>
    <row r="5" spans="1:23">
      <c r="A5" s="27">
        <v>20</v>
      </c>
      <c r="B5" s="28">
        <f t="shared" ref="B5:B44" si="6">B4-C4-D4</f>
        <v>65906</v>
      </c>
      <c r="C5" s="28">
        <v>39</v>
      </c>
      <c r="D5" s="29">
        <v>10000</v>
      </c>
      <c r="E5" s="45">
        <f t="shared" si="0"/>
        <v>5.9175188905410741E-4</v>
      </c>
      <c r="F5" s="46">
        <f t="shared" si="1"/>
        <v>0.15173125360361728</v>
      </c>
      <c r="G5" s="46">
        <f t="shared" si="4"/>
        <v>0.15232300549267139</v>
      </c>
      <c r="H5" s="46">
        <f t="shared" si="5"/>
        <v>0.84767699450732859</v>
      </c>
      <c r="I5" s="46">
        <f t="shared" si="2"/>
        <v>6.4199313873622638E-4</v>
      </c>
      <c r="J5" s="47">
        <f t="shared" si="3"/>
        <v>0.16461362531698112</v>
      </c>
      <c r="M5" s="25"/>
      <c r="N5" s="25"/>
      <c r="O5" s="25"/>
      <c r="P5" s="25"/>
      <c r="Q5" s="25"/>
      <c r="V5" s="2"/>
    </row>
    <row r="6" spans="1:23">
      <c r="A6" s="27">
        <v>21</v>
      </c>
      <c r="B6" s="28">
        <f t="shared" si="6"/>
        <v>55867</v>
      </c>
      <c r="C6" s="28">
        <v>37</v>
      </c>
      <c r="D6" s="29">
        <v>8000</v>
      </c>
      <c r="E6" s="45">
        <f t="shared" si="0"/>
        <v>6.6228721785669537E-4</v>
      </c>
      <c r="F6" s="46">
        <f t="shared" si="1"/>
        <v>0.14319723629333952</v>
      </c>
      <c r="G6" s="46">
        <f t="shared" si="4"/>
        <v>0.14385952351119621</v>
      </c>
      <c r="H6" s="46">
        <f t="shared" si="5"/>
        <v>0.85614047648880376</v>
      </c>
      <c r="I6" s="46">
        <f t="shared" si="2"/>
        <v>7.1505162442556255E-4</v>
      </c>
      <c r="J6" s="47">
        <f t="shared" si="3"/>
        <v>0.15460575663255405</v>
      </c>
      <c r="M6" s="25"/>
      <c r="N6" s="25"/>
      <c r="O6" s="25"/>
      <c r="P6" s="25"/>
      <c r="Q6" s="25"/>
    </row>
    <row r="7" spans="1:23">
      <c r="A7" s="27">
        <v>22</v>
      </c>
      <c r="B7" s="28">
        <f t="shared" si="6"/>
        <v>47830</v>
      </c>
      <c r="C7" s="28">
        <v>35</v>
      </c>
      <c r="D7" s="29">
        <v>6500</v>
      </c>
      <c r="E7" s="45">
        <f t="shared" si="0"/>
        <v>7.3175831068367139E-4</v>
      </c>
      <c r="F7" s="46">
        <f t="shared" si="1"/>
        <v>0.13589797198411038</v>
      </c>
      <c r="G7" s="46">
        <f t="shared" si="4"/>
        <v>0.13662973029479406</v>
      </c>
      <c r="H7" s="46">
        <f t="shared" si="5"/>
        <v>0.86337026970520592</v>
      </c>
      <c r="I7" s="46">
        <f t="shared" si="2"/>
        <v>7.8682587070135932E-4</v>
      </c>
      <c r="J7" s="47">
        <f t="shared" si="3"/>
        <v>0.14612480455882385</v>
      </c>
      <c r="M7" s="25"/>
      <c r="N7" s="25"/>
      <c r="O7" s="25"/>
      <c r="P7" s="25"/>
      <c r="Q7" s="25"/>
    </row>
    <row r="8" spans="1:23">
      <c r="A8" s="27">
        <v>23</v>
      </c>
      <c r="B8" s="28">
        <f t="shared" si="6"/>
        <v>41295</v>
      </c>
      <c r="C8" s="28">
        <v>33</v>
      </c>
      <c r="D8" s="29">
        <v>5000</v>
      </c>
      <c r="E8" s="45">
        <f t="shared" si="0"/>
        <v>7.9912822375590266E-4</v>
      </c>
      <c r="F8" s="46">
        <f t="shared" si="1"/>
        <v>0.1210800339024095</v>
      </c>
      <c r="G8" s="46">
        <f t="shared" si="4"/>
        <v>0.1218791621261654</v>
      </c>
      <c r="H8" s="46">
        <f t="shared" si="5"/>
        <v>0.87812083787383455</v>
      </c>
      <c r="I8" s="46">
        <f t="shared" si="2"/>
        <v>8.5218461882556953E-4</v>
      </c>
      <c r="J8" s="47">
        <f t="shared" si="3"/>
        <v>0.12911888164023783</v>
      </c>
      <c r="M8" s="25"/>
      <c r="N8" s="25"/>
      <c r="O8" s="25"/>
      <c r="P8" s="25"/>
      <c r="Q8" s="25"/>
    </row>
    <row r="9" spans="1:23">
      <c r="A9" s="27">
        <v>24</v>
      </c>
      <c r="B9" s="28">
        <f t="shared" si="6"/>
        <v>36262</v>
      </c>
      <c r="C9" s="28">
        <v>32</v>
      </c>
      <c r="D9" s="29">
        <v>4000</v>
      </c>
      <c r="E9" s="45">
        <f t="shared" si="0"/>
        <v>8.824664938503116E-4</v>
      </c>
      <c r="F9" s="46">
        <f t="shared" si="1"/>
        <v>0.11030831173128895</v>
      </c>
      <c r="G9" s="46">
        <f t="shared" si="4"/>
        <v>0.11119077822513926</v>
      </c>
      <c r="H9" s="46">
        <f t="shared" si="5"/>
        <v>0.88880922177486077</v>
      </c>
      <c r="I9" s="46">
        <f t="shared" si="2"/>
        <v>9.3549734266881344E-4</v>
      </c>
      <c r="J9" s="47">
        <f t="shared" si="3"/>
        <v>0.1169371678336017</v>
      </c>
      <c r="M9" s="25"/>
      <c r="N9" s="25"/>
      <c r="O9" s="25"/>
      <c r="P9" s="25"/>
      <c r="Q9" s="25"/>
    </row>
    <row r="10" spans="1:23">
      <c r="A10" s="27">
        <v>25</v>
      </c>
      <c r="B10" s="28">
        <f t="shared" si="6"/>
        <v>32230</v>
      </c>
      <c r="C10" s="28">
        <v>31</v>
      </c>
      <c r="D10" s="29">
        <v>3000</v>
      </c>
      <c r="E10" s="45">
        <f t="shared" si="0"/>
        <v>9.6183679801427238E-4</v>
      </c>
      <c r="F10" s="46">
        <f t="shared" si="1"/>
        <v>9.3080980452994108E-2</v>
      </c>
      <c r="G10" s="46">
        <f t="shared" si="4"/>
        <v>9.4042817251008382E-2</v>
      </c>
      <c r="H10" s="46">
        <f t="shared" si="5"/>
        <v>0.90595718274899162</v>
      </c>
      <c r="I10" s="46">
        <f t="shared" si="2"/>
        <v>1.0101155543257299E-3</v>
      </c>
      <c r="J10" s="47">
        <f t="shared" si="3"/>
        <v>9.7753118160554514E-2</v>
      </c>
      <c r="K10" s="7"/>
      <c r="L10" s="7"/>
      <c r="M10" s="37"/>
      <c r="N10" s="25"/>
      <c r="O10" s="25"/>
      <c r="P10" s="25"/>
      <c r="Q10" s="25"/>
    </row>
    <row r="11" spans="1:23">
      <c r="A11" s="27">
        <v>26</v>
      </c>
      <c r="B11" s="28">
        <f t="shared" si="6"/>
        <v>29199</v>
      </c>
      <c r="C11" s="28">
        <v>31</v>
      </c>
      <c r="D11" s="29">
        <v>2500</v>
      </c>
      <c r="E11" s="45">
        <f t="shared" si="0"/>
        <v>1.0616801945272098E-3</v>
      </c>
      <c r="F11" s="46">
        <f t="shared" si="1"/>
        <v>8.5619370526387892E-2</v>
      </c>
      <c r="G11" s="46">
        <f t="shared" si="4"/>
        <v>8.6681050720915101E-2</v>
      </c>
      <c r="H11" s="46">
        <f t="shared" si="5"/>
        <v>0.91331894927908486</v>
      </c>
      <c r="I11" s="46">
        <f t="shared" si="2"/>
        <v>1.1105387744196895E-3</v>
      </c>
      <c r="J11" s="47">
        <f t="shared" si="3"/>
        <v>8.9559578582233026E-2</v>
      </c>
      <c r="K11" s="7"/>
      <c r="L11" s="7"/>
      <c r="M11" s="37"/>
      <c r="N11" s="25"/>
      <c r="O11" s="25"/>
      <c r="P11" s="25"/>
      <c r="Q11" s="25"/>
      <c r="V11" s="2"/>
      <c r="W11" s="40"/>
    </row>
    <row r="12" spans="1:23">
      <c r="A12" s="27">
        <v>27</v>
      </c>
      <c r="B12" s="28">
        <f t="shared" si="6"/>
        <v>26668</v>
      </c>
      <c r="C12" s="28">
        <v>31</v>
      </c>
      <c r="D12" s="29">
        <v>2000</v>
      </c>
      <c r="E12" s="45">
        <f t="shared" si="0"/>
        <v>1.1624418779061048E-3</v>
      </c>
      <c r="F12" s="46">
        <f t="shared" si="1"/>
        <v>7.4996250187490621E-2</v>
      </c>
      <c r="G12" s="46">
        <f t="shared" si="4"/>
        <v>7.615869206539673E-2</v>
      </c>
      <c r="H12" s="46">
        <f t="shared" si="5"/>
        <v>0.92384130793460328</v>
      </c>
      <c r="I12" s="46">
        <f t="shared" si="2"/>
        <v>1.2090910729901803E-3</v>
      </c>
      <c r="J12" s="47">
        <f t="shared" si="3"/>
        <v>7.8005875676785824E-2</v>
      </c>
      <c r="K12" s="7"/>
      <c r="L12" s="7"/>
      <c r="M12" s="37"/>
      <c r="N12" s="25"/>
      <c r="O12" s="25"/>
      <c r="P12" s="25"/>
      <c r="Q12" s="25"/>
      <c r="V12" s="2"/>
      <c r="W12" s="40"/>
    </row>
    <row r="13" spans="1:23">
      <c r="A13" s="27">
        <v>28</v>
      </c>
      <c r="B13" s="28">
        <f t="shared" si="6"/>
        <v>24637</v>
      </c>
      <c r="C13" s="28">
        <v>31</v>
      </c>
      <c r="D13" s="29">
        <v>1800</v>
      </c>
      <c r="E13" s="45">
        <f t="shared" si="0"/>
        <v>1.2582700815846086E-3</v>
      </c>
      <c r="F13" s="46">
        <f t="shared" si="1"/>
        <v>7.3060843446848239E-2</v>
      </c>
      <c r="G13" s="46">
        <f t="shared" si="4"/>
        <v>7.4319113528432845E-2</v>
      </c>
      <c r="H13" s="46">
        <f t="shared" si="5"/>
        <v>0.9256808864715671</v>
      </c>
      <c r="I13" s="46">
        <f t="shared" si="2"/>
        <v>1.3074807656455485E-3</v>
      </c>
      <c r="J13" s="47">
        <f t="shared" si="3"/>
        <v>7.5918238005225389E-2</v>
      </c>
      <c r="K13" s="7"/>
      <c r="L13" s="7"/>
      <c r="M13" s="37"/>
      <c r="N13" s="25"/>
      <c r="O13" s="25"/>
      <c r="P13" s="25"/>
      <c r="Q13" s="25"/>
      <c r="V13" s="2"/>
      <c r="W13" s="40"/>
    </row>
    <row r="14" spans="1:23">
      <c r="A14" s="27">
        <v>29</v>
      </c>
      <c r="B14" s="28">
        <f t="shared" si="6"/>
        <v>22806</v>
      </c>
      <c r="C14" s="28">
        <v>32</v>
      </c>
      <c r="D14" s="29">
        <v>1550</v>
      </c>
      <c r="E14" s="45">
        <f t="shared" si="0"/>
        <v>1.403139524686486E-3</v>
      </c>
      <c r="F14" s="46">
        <f t="shared" si="1"/>
        <v>6.7964570727001669E-2</v>
      </c>
      <c r="G14" s="46">
        <f t="shared" si="4"/>
        <v>6.9367710251688156E-2</v>
      </c>
      <c r="H14" s="46">
        <f t="shared" si="5"/>
        <v>0.9306322897483118</v>
      </c>
      <c r="I14" s="46">
        <f t="shared" si="2"/>
        <v>1.4541803772384972E-3</v>
      </c>
      <c r="J14" s="47">
        <f t="shared" si="3"/>
        <v>7.0436862022489707E-2</v>
      </c>
      <c r="K14" s="7"/>
      <c r="L14" s="7"/>
      <c r="M14" s="37"/>
      <c r="N14" s="25"/>
      <c r="O14" s="25"/>
      <c r="P14" s="25"/>
      <c r="Q14" s="25"/>
      <c r="V14" s="2"/>
      <c r="W14" s="40"/>
    </row>
    <row r="15" spans="1:23">
      <c r="A15" s="27">
        <v>30</v>
      </c>
      <c r="B15" s="28">
        <f t="shared" si="6"/>
        <v>21224</v>
      </c>
      <c r="C15" s="28">
        <v>32</v>
      </c>
      <c r="D15" s="29">
        <v>1300</v>
      </c>
      <c r="E15" s="45">
        <f t="shared" si="0"/>
        <v>1.5077271013946476E-3</v>
      </c>
      <c r="F15" s="46">
        <f t="shared" si="1"/>
        <v>6.125141349415756E-2</v>
      </c>
      <c r="G15" s="46">
        <f t="shared" si="4"/>
        <v>6.275914059555221E-2</v>
      </c>
      <c r="H15" s="46">
        <f t="shared" si="5"/>
        <v>0.93724085940444779</v>
      </c>
      <c r="I15" s="46">
        <f t="shared" si="2"/>
        <v>1.5571165401308449E-3</v>
      </c>
      <c r="J15" s="47">
        <f t="shared" si="3"/>
        <v>6.3257859442815575E-2</v>
      </c>
      <c r="K15" s="7"/>
      <c r="L15" s="7"/>
      <c r="M15" s="37"/>
      <c r="N15" s="25"/>
      <c r="O15" s="25"/>
      <c r="P15" s="25"/>
      <c r="Q15" s="25"/>
      <c r="V15" s="2"/>
      <c r="W15" s="40"/>
    </row>
    <row r="16" spans="1:23">
      <c r="A16" s="27">
        <v>31</v>
      </c>
      <c r="B16" s="28">
        <f t="shared" si="6"/>
        <v>19892</v>
      </c>
      <c r="C16" s="28">
        <v>33</v>
      </c>
      <c r="D16" s="29">
        <v>1200</v>
      </c>
      <c r="E16" s="45">
        <f t="shared" si="0"/>
        <v>1.6589583752262215E-3</v>
      </c>
      <c r="F16" s="46">
        <f t="shared" si="1"/>
        <v>6.0325759099135332E-2</v>
      </c>
      <c r="G16" s="46">
        <f t="shared" si="4"/>
        <v>6.1984717474361552E-2</v>
      </c>
      <c r="H16" s="46">
        <f t="shared" si="5"/>
        <v>0.93801528252563848</v>
      </c>
      <c r="I16" s="46">
        <f t="shared" si="2"/>
        <v>1.7126019752096871E-3</v>
      </c>
      <c r="J16" s="47">
        <f t="shared" si="3"/>
        <v>6.2276435462170446E-2</v>
      </c>
      <c r="K16" s="7"/>
      <c r="L16" s="7"/>
      <c r="M16" s="37"/>
      <c r="N16" s="25"/>
      <c r="O16" s="25"/>
      <c r="P16" s="25"/>
      <c r="Q16" s="25"/>
      <c r="V16" s="2"/>
      <c r="W16" s="40"/>
    </row>
    <row r="17" spans="1:23">
      <c r="A17" s="27">
        <v>32</v>
      </c>
      <c r="B17" s="28">
        <f t="shared" si="6"/>
        <v>18659</v>
      </c>
      <c r="C17" s="28">
        <v>34</v>
      </c>
      <c r="D17" s="29">
        <v>950</v>
      </c>
      <c r="E17" s="45">
        <f t="shared" si="0"/>
        <v>1.822176965539418E-3</v>
      </c>
      <c r="F17" s="46">
        <f t="shared" si="1"/>
        <v>5.0913768154777855E-2</v>
      </c>
      <c r="G17" s="46">
        <f t="shared" si="4"/>
        <v>5.2735945120317276E-2</v>
      </c>
      <c r="H17" s="46">
        <f t="shared" si="5"/>
        <v>0.94726405487968268</v>
      </c>
      <c r="I17" s="46">
        <f t="shared" si="2"/>
        <v>1.8719830442115533E-3</v>
      </c>
      <c r="J17" s="47">
        <f t="shared" si="3"/>
        <v>5.2305408588263984E-2</v>
      </c>
      <c r="K17" s="7"/>
      <c r="L17" s="7"/>
      <c r="M17" s="37"/>
      <c r="N17" s="25"/>
      <c r="O17" s="25"/>
      <c r="P17" s="25"/>
      <c r="Q17" s="25"/>
      <c r="V17" s="2"/>
      <c r="W17" s="40"/>
    </row>
    <row r="18" spans="1:23">
      <c r="A18" s="27">
        <v>33</v>
      </c>
      <c r="B18" s="28">
        <f t="shared" si="6"/>
        <v>17675</v>
      </c>
      <c r="C18" s="28">
        <v>35</v>
      </c>
      <c r="D18" s="29">
        <v>900</v>
      </c>
      <c r="E18" s="45">
        <f t="shared" si="0"/>
        <v>1.9801980198019802E-3</v>
      </c>
      <c r="F18" s="46">
        <f t="shared" si="1"/>
        <v>5.0919377652050922E-2</v>
      </c>
      <c r="G18" s="46">
        <f t="shared" si="4"/>
        <v>5.2899575671852904E-2</v>
      </c>
      <c r="H18" s="46">
        <f t="shared" si="5"/>
        <v>0.94710042432814712</v>
      </c>
      <c r="I18" s="46">
        <f t="shared" si="2"/>
        <v>2.0344974708510705E-3</v>
      </c>
      <c r="J18" s="47">
        <f t="shared" si="3"/>
        <v>5.2315649250456106E-2</v>
      </c>
      <c r="K18" s="7"/>
      <c r="L18" s="7"/>
      <c r="M18" s="37"/>
      <c r="N18" s="25"/>
      <c r="O18" s="25"/>
      <c r="P18" s="25"/>
      <c r="Q18" s="25"/>
      <c r="V18" s="2"/>
      <c r="W18" s="40"/>
    </row>
    <row r="19" spans="1:23">
      <c r="A19" s="27">
        <v>34</v>
      </c>
      <c r="B19" s="28">
        <f t="shared" si="6"/>
        <v>16740</v>
      </c>
      <c r="C19" s="28">
        <v>36</v>
      </c>
      <c r="D19" s="29">
        <v>850</v>
      </c>
      <c r="E19" s="45">
        <f t="shared" si="0"/>
        <v>2.1505376344086021E-3</v>
      </c>
      <c r="F19" s="46">
        <f t="shared" si="1"/>
        <v>5.0776583034647549E-2</v>
      </c>
      <c r="G19" s="46">
        <f t="shared" si="4"/>
        <v>5.2927120669056152E-2</v>
      </c>
      <c r="H19" s="46">
        <f t="shared" si="5"/>
        <v>0.94707287933094386</v>
      </c>
      <c r="I19" s="46">
        <f t="shared" si="2"/>
        <v>2.2095398456762356E-3</v>
      </c>
      <c r="J19" s="47">
        <f t="shared" si="3"/>
        <v>5.2169690800688888E-2</v>
      </c>
      <c r="K19" s="7"/>
      <c r="L19" s="7"/>
      <c r="M19" s="37"/>
      <c r="N19" s="25"/>
      <c r="O19" s="25"/>
      <c r="P19" s="25"/>
      <c r="Q19" s="25"/>
      <c r="V19" s="2"/>
      <c r="W19" s="40"/>
    </row>
    <row r="20" spans="1:23">
      <c r="A20" s="27">
        <v>35</v>
      </c>
      <c r="B20" s="28">
        <f t="shared" si="6"/>
        <v>15854</v>
      </c>
      <c r="C20" s="28">
        <v>37</v>
      </c>
      <c r="D20" s="29">
        <v>800</v>
      </c>
      <c r="E20" s="45">
        <f t="shared" si="0"/>
        <v>2.3337958874731931E-3</v>
      </c>
      <c r="F20" s="46">
        <f t="shared" si="1"/>
        <v>5.0460451621042006E-2</v>
      </c>
      <c r="G20" s="46">
        <f t="shared" si="4"/>
        <v>5.2794247508515198E-2</v>
      </c>
      <c r="H20" s="46">
        <f t="shared" si="5"/>
        <v>0.94720575249148475</v>
      </c>
      <c r="I20" s="46">
        <f t="shared" si="2"/>
        <v>2.397659311257298E-3</v>
      </c>
      <c r="J20" s="47">
        <f t="shared" si="3"/>
        <v>5.1841282405563197E-2</v>
      </c>
      <c r="K20" s="7">
        <v>35</v>
      </c>
      <c r="L20" s="7">
        <v>1</v>
      </c>
      <c r="M20" s="37">
        <f>'Q1 (i)'!B5</f>
        <v>2.055E-3</v>
      </c>
      <c r="N20" s="51">
        <f t="shared" ref="N20:N44" si="7">-LN(1-M20)</f>
        <v>2.0571144097379815E-3</v>
      </c>
      <c r="O20" s="51">
        <f t="shared" ref="O20:O44" si="8">J20</f>
        <v>5.1841282405563197E-2</v>
      </c>
      <c r="P20" s="51">
        <f t="shared" ref="P20:P44" si="9">EXP(-(N20+O20))</f>
        <v>0.9475283735115394</v>
      </c>
      <c r="Q20" s="51">
        <f t="shared" ref="Q20:Q44" si="10">1-P20</f>
        <v>5.2471626488460599E-2</v>
      </c>
      <c r="R20" s="52">
        <f t="shared" ref="R20:R44" si="11">N20/($N20+$O20)*$Q20</f>
        <v>2.002659547030505E-3</v>
      </c>
      <c r="S20" s="52">
        <f t="shared" ref="S20:S44" si="12">O20/($N20+$O20)*$Q20</f>
        <v>5.0468966941430098E-2</v>
      </c>
      <c r="T20" s="52">
        <f>P20</f>
        <v>0.9475283735115394</v>
      </c>
      <c r="U20" s="52">
        <f>R20</f>
        <v>2.002659547030505E-3</v>
      </c>
      <c r="V20" s="5">
        <f>(1+$V$2)^-(K20-$K$20+1)</f>
        <v>0.95238095238095233</v>
      </c>
      <c r="W20" s="40">
        <f t="shared" ref="W20:W40" si="13">$W$2*U20*V20</f>
        <v>190.7294806695719</v>
      </c>
    </row>
    <row r="21" spans="1:23">
      <c r="A21" s="27">
        <v>36</v>
      </c>
      <c r="B21" s="28">
        <f t="shared" si="6"/>
        <v>15017</v>
      </c>
      <c r="C21" s="28">
        <v>38</v>
      </c>
      <c r="D21" s="29">
        <v>750</v>
      </c>
      <c r="E21" s="45">
        <f t="shared" si="0"/>
        <v>2.5304654724645401E-3</v>
      </c>
      <c r="F21" s="46">
        <f t="shared" si="1"/>
        <v>4.9943397482852765E-2</v>
      </c>
      <c r="G21" s="46">
        <f t="shared" si="4"/>
        <v>5.2473862955317307E-2</v>
      </c>
      <c r="H21" s="46">
        <f t="shared" si="5"/>
        <v>0.94752613704468269</v>
      </c>
      <c r="I21" s="46">
        <f t="shared" si="2"/>
        <v>2.5992750902466932E-3</v>
      </c>
      <c r="J21" s="47">
        <f t="shared" si="3"/>
        <v>5.1301482044342622E-2</v>
      </c>
      <c r="K21" s="7">
        <v>36</v>
      </c>
      <c r="L21" s="7">
        <v>2</v>
      </c>
      <c r="M21" s="37">
        <f>'Q1 (i)'!B6</f>
        <v>2.2279999999999999E-3</v>
      </c>
      <c r="N21" s="51">
        <f t="shared" si="7"/>
        <v>2.2304856847567434E-3</v>
      </c>
      <c r="O21" s="51">
        <f t="shared" si="8"/>
        <v>5.1301482044342622E-2</v>
      </c>
      <c r="P21" s="51">
        <f t="shared" si="9"/>
        <v>0.9478756390878138</v>
      </c>
      <c r="Q21" s="51">
        <f t="shared" si="10"/>
        <v>5.2124360912186196E-2</v>
      </c>
      <c r="R21" s="52">
        <f t="shared" si="11"/>
        <v>2.1718357417772672E-3</v>
      </c>
      <c r="S21" s="52">
        <f t="shared" si="12"/>
        <v>4.9952525170408928E-2</v>
      </c>
      <c r="T21" s="52">
        <f>T20*P21</f>
        <v>0.89813906259608711</v>
      </c>
      <c r="U21" s="52">
        <f>T20*R21</f>
        <v>2.0578759879404415E-3</v>
      </c>
      <c r="V21" s="5">
        <f t="shared" ref="V21:V45" si="14">(1+$V$2)^-(K21-$K$20+1)</f>
        <v>0.90702947845804982</v>
      </c>
      <c r="W21" s="40">
        <f t="shared" si="13"/>
        <v>186.65541840729628</v>
      </c>
    </row>
    <row r="22" spans="1:23">
      <c r="A22" s="27">
        <v>37</v>
      </c>
      <c r="B22" s="28">
        <f t="shared" si="6"/>
        <v>14229</v>
      </c>
      <c r="C22" s="28">
        <v>39</v>
      </c>
      <c r="D22" s="29">
        <v>700</v>
      </c>
      <c r="E22" s="45">
        <f t="shared" si="0"/>
        <v>2.7408812987560617E-3</v>
      </c>
      <c r="F22" s="46">
        <f t="shared" si="1"/>
        <v>4.9195305362288284E-2</v>
      </c>
      <c r="G22" s="46">
        <f t="shared" si="4"/>
        <v>5.1936186661044347E-2</v>
      </c>
      <c r="H22" s="46">
        <f t="shared" si="5"/>
        <v>0.94806381333895562</v>
      </c>
      <c r="I22" s="46">
        <f t="shared" si="2"/>
        <v>2.8146213104353248E-3</v>
      </c>
      <c r="J22" s="47">
        <f t="shared" si="3"/>
        <v>5.0518844033454545E-2</v>
      </c>
      <c r="K22" s="7">
        <v>37</v>
      </c>
      <c r="L22" s="7">
        <v>3</v>
      </c>
      <c r="M22" s="37">
        <f>'Q1 (i)'!B7</f>
        <v>2.4120000000000001E-3</v>
      </c>
      <c r="N22" s="51">
        <f t="shared" si="7"/>
        <v>2.4149135579440424E-3</v>
      </c>
      <c r="O22" s="51">
        <f t="shared" si="8"/>
        <v>5.0518844033454545E-2</v>
      </c>
      <c r="P22" s="51">
        <f t="shared" si="9"/>
        <v>0.94844283753941305</v>
      </c>
      <c r="Q22" s="51">
        <f t="shared" si="10"/>
        <v>5.1557162460586947E-2</v>
      </c>
      <c r="R22" s="52">
        <f t="shared" si="11"/>
        <v>2.3521113236712014E-3</v>
      </c>
      <c r="S22" s="52">
        <f t="shared" si="12"/>
        <v>4.9205051136915749E-2</v>
      </c>
      <c r="T22" s="52">
        <f t="shared" ref="T22:T45" si="15">T21*P22</f>
        <v>0.8518335610336214</v>
      </c>
      <c r="U22" s="52">
        <f t="shared" ref="U22:U45" si="16">T21*R22</f>
        <v>2.1125230593636943E-3</v>
      </c>
      <c r="V22" s="5">
        <f t="shared" si="14"/>
        <v>0.86383759853147601</v>
      </c>
      <c r="W22" s="40">
        <f t="shared" si="13"/>
        <v>182.48768464431004</v>
      </c>
    </row>
    <row r="23" spans="1:23">
      <c r="A23" s="27">
        <v>38</v>
      </c>
      <c r="B23" s="28">
        <f t="shared" si="6"/>
        <v>13490</v>
      </c>
      <c r="C23" s="28">
        <v>40</v>
      </c>
      <c r="D23" s="29">
        <v>650</v>
      </c>
      <c r="E23" s="45">
        <f t="shared" si="0"/>
        <v>2.9651593773165306E-3</v>
      </c>
      <c r="F23" s="46">
        <f t="shared" si="1"/>
        <v>4.8183839881393624E-2</v>
      </c>
      <c r="G23" s="46">
        <f t="shared" si="4"/>
        <v>5.1148999258710151E-2</v>
      </c>
      <c r="H23" s="46">
        <f t="shared" si="5"/>
        <v>0.94885100074128981</v>
      </c>
      <c r="I23" s="46">
        <f t="shared" si="2"/>
        <v>3.0436811184981491E-3</v>
      </c>
      <c r="J23" s="47">
        <f t="shared" si="3"/>
        <v>4.9459818175594923E-2</v>
      </c>
      <c r="K23" s="7">
        <v>38</v>
      </c>
      <c r="L23" s="7">
        <v>4</v>
      </c>
      <c r="M23" s="37">
        <f>'Q1 (i)'!B8</f>
        <v>2.6050000000000001E-3</v>
      </c>
      <c r="N23" s="51">
        <f t="shared" si="7"/>
        <v>2.6083989165682549E-3</v>
      </c>
      <c r="O23" s="51">
        <f t="shared" si="8"/>
        <v>4.9459818175594923E-2</v>
      </c>
      <c r="P23" s="51">
        <f t="shared" si="9"/>
        <v>0.94926410859692167</v>
      </c>
      <c r="Q23" s="51">
        <f t="shared" si="10"/>
        <v>5.0735891403078326E-2</v>
      </c>
      <c r="R23" s="52">
        <f t="shared" si="11"/>
        <v>2.5416549971870005E-3</v>
      </c>
      <c r="S23" s="52">
        <f t="shared" si="12"/>
        <v>4.8194236405891322E-2</v>
      </c>
      <c r="T23" s="52">
        <f t="shared" si="15"/>
        <v>0.80861502598752211</v>
      </c>
      <c r="U23" s="52">
        <f t="shared" si="16"/>
        <v>2.1650670271727017E-3</v>
      </c>
      <c r="V23" s="5">
        <f t="shared" si="14"/>
        <v>0.82270247479188197</v>
      </c>
      <c r="W23" s="40">
        <f t="shared" si="13"/>
        <v>178.12060013452844</v>
      </c>
    </row>
    <row r="24" spans="1:23">
      <c r="A24" s="27">
        <v>39</v>
      </c>
      <c r="B24" s="28">
        <f t="shared" si="6"/>
        <v>12800</v>
      </c>
      <c r="C24" s="28">
        <v>41</v>
      </c>
      <c r="D24" s="29">
        <v>610</v>
      </c>
      <c r="E24" s="45">
        <f t="shared" si="0"/>
        <v>3.2031249999999998E-3</v>
      </c>
      <c r="F24" s="46">
        <f t="shared" si="1"/>
        <v>4.7656249999999997E-2</v>
      </c>
      <c r="G24" s="46">
        <f t="shared" si="4"/>
        <v>5.0859374999999998E-2</v>
      </c>
      <c r="H24" s="46">
        <f t="shared" si="5"/>
        <v>0.94914062499999996</v>
      </c>
      <c r="I24" s="46">
        <f t="shared" si="2"/>
        <v>3.2874511077905133E-3</v>
      </c>
      <c r="J24" s="47">
        <f t="shared" si="3"/>
        <v>4.8910857945175933E-2</v>
      </c>
      <c r="K24" s="7">
        <v>39</v>
      </c>
      <c r="L24" s="7">
        <v>5</v>
      </c>
      <c r="M24" s="37">
        <f>'Q1 (i)'!B9</f>
        <v>2.8080000000000002E-3</v>
      </c>
      <c r="N24" s="51">
        <f t="shared" si="7"/>
        <v>2.811949827810504E-3</v>
      </c>
      <c r="O24" s="51">
        <f t="shared" si="8"/>
        <v>4.8910857945175933E-2</v>
      </c>
      <c r="P24" s="51">
        <f t="shared" si="9"/>
        <v>0.9495920499001218</v>
      </c>
      <c r="Q24" s="51">
        <f t="shared" si="10"/>
        <v>5.0407950099878196E-2</v>
      </c>
      <c r="R24" s="52">
        <f t="shared" si="11"/>
        <v>2.7404665892415596E-3</v>
      </c>
      <c r="S24" s="52">
        <f t="shared" si="12"/>
        <v>4.7667483510636634E-2</v>
      </c>
      <c r="T24" s="52">
        <f t="shared" si="15"/>
        <v>0.76785440010753137</v>
      </c>
      <c r="U24" s="52">
        <f t="shared" si="16"/>
        <v>2.2159824622774997E-3</v>
      </c>
      <c r="V24" s="5">
        <f t="shared" si="14"/>
        <v>0.78352616646845896</v>
      </c>
      <c r="W24" s="40">
        <f t="shared" si="13"/>
        <v>173.62802436296258</v>
      </c>
    </row>
    <row r="25" spans="1:23">
      <c r="A25" s="27">
        <v>40</v>
      </c>
      <c r="B25" s="28">
        <f t="shared" si="6"/>
        <v>12149</v>
      </c>
      <c r="C25" s="28">
        <v>41</v>
      </c>
      <c r="D25" s="29">
        <v>570</v>
      </c>
      <c r="E25" s="45">
        <f t="shared" si="0"/>
        <v>3.3747633550086425E-3</v>
      </c>
      <c r="F25" s="46">
        <f t="shared" si="1"/>
        <v>4.6917441764754299E-2</v>
      </c>
      <c r="G25" s="46">
        <f t="shared" si="4"/>
        <v>5.0292205119762942E-2</v>
      </c>
      <c r="H25" s="46">
        <f t="shared" si="5"/>
        <v>0.94970779488023704</v>
      </c>
      <c r="I25" s="46">
        <f t="shared" si="2"/>
        <v>3.4625825982883855E-3</v>
      </c>
      <c r="J25" s="47">
        <f t="shared" si="3"/>
        <v>4.8138343439619015E-2</v>
      </c>
      <c r="K25" s="7">
        <v>40</v>
      </c>
      <c r="L25" s="7">
        <v>6</v>
      </c>
      <c r="M25" s="37">
        <f>'Q1 (i)'!B10</f>
        <v>3.0200000000000001E-3</v>
      </c>
      <c r="N25" s="51">
        <f t="shared" si="7"/>
        <v>3.0245694020484821E-3</v>
      </c>
      <c r="O25" s="51">
        <f t="shared" si="8"/>
        <v>4.8138343439619015E-2</v>
      </c>
      <c r="P25" s="51">
        <f t="shared" si="9"/>
        <v>0.9501238705436299</v>
      </c>
      <c r="Q25" s="51">
        <f t="shared" si="10"/>
        <v>4.98761294563701E-2</v>
      </c>
      <c r="R25" s="52">
        <f t="shared" si="11"/>
        <v>2.9484993458677631E-3</v>
      </c>
      <c r="S25" s="52">
        <f t="shared" si="12"/>
        <v>4.6927630110502334E-2</v>
      </c>
      <c r="T25" s="52">
        <f t="shared" si="15"/>
        <v>0.72955679464412471</v>
      </c>
      <c r="U25" s="52">
        <f t="shared" si="16"/>
        <v>2.2640181964387399E-3</v>
      </c>
      <c r="V25" s="5">
        <f t="shared" si="14"/>
        <v>0.74621539663662761</v>
      </c>
      <c r="W25" s="40">
        <f t="shared" si="13"/>
        <v>168.94452364480765</v>
      </c>
    </row>
    <row r="26" spans="1:23">
      <c r="A26" s="27">
        <v>41</v>
      </c>
      <c r="B26" s="28">
        <f t="shared" si="6"/>
        <v>11538</v>
      </c>
      <c r="C26" s="28">
        <v>42</v>
      </c>
      <c r="D26" s="29">
        <v>530</v>
      </c>
      <c r="E26" s="45">
        <f t="shared" si="0"/>
        <v>3.6401456058242328E-3</v>
      </c>
      <c r="F26" s="46">
        <f t="shared" si="1"/>
        <v>4.5935170740162942E-2</v>
      </c>
      <c r="G26" s="46">
        <f t="shared" si="4"/>
        <v>4.9575316345987178E-2</v>
      </c>
      <c r="H26" s="46">
        <f t="shared" si="5"/>
        <v>0.95042468365401278</v>
      </c>
      <c r="I26" s="46">
        <f t="shared" si="2"/>
        <v>3.7334739017820312E-3</v>
      </c>
      <c r="J26" s="47">
        <f t="shared" si="3"/>
        <v>4.7112884951058975E-2</v>
      </c>
      <c r="K26" s="7">
        <v>41</v>
      </c>
      <c r="L26" s="7">
        <v>7</v>
      </c>
      <c r="M26" s="37">
        <f>'Q1 (i)'!B11</f>
        <v>3.2420000000000001E-3</v>
      </c>
      <c r="N26" s="51">
        <f t="shared" si="7"/>
        <v>3.2472666681059425E-3</v>
      </c>
      <c r="O26" s="51">
        <f t="shared" si="8"/>
        <v>4.7112884951058975E-2</v>
      </c>
      <c r="P26" s="51">
        <f t="shared" si="9"/>
        <v>0.95088689936747584</v>
      </c>
      <c r="Q26" s="51">
        <f t="shared" si="10"/>
        <v>4.9113100632524165E-2</v>
      </c>
      <c r="R26" s="52">
        <f t="shared" si="11"/>
        <v>3.1668557286598014E-3</v>
      </c>
      <c r="S26" s="52">
        <f t="shared" si="12"/>
        <v>4.5946244903864362E-2</v>
      </c>
      <c r="T26" s="52">
        <f t="shared" si="15"/>
        <v>0.69372599837162607</v>
      </c>
      <c r="U26" s="52">
        <f t="shared" si="16"/>
        <v>2.3104011145014289E-3</v>
      </c>
      <c r="V26" s="5">
        <f t="shared" si="14"/>
        <v>0.71068133013012147</v>
      </c>
      <c r="W26" s="40">
        <f t="shared" si="13"/>
        <v>164.19589371879906</v>
      </c>
    </row>
    <row r="27" spans="1:23">
      <c r="A27" s="27">
        <v>42</v>
      </c>
      <c r="B27" s="28">
        <f t="shared" si="6"/>
        <v>10966</v>
      </c>
      <c r="C27" s="28">
        <v>43</v>
      </c>
      <c r="D27" s="29">
        <v>500</v>
      </c>
      <c r="E27" s="45">
        <f t="shared" si="0"/>
        <v>3.9212110158672259E-3</v>
      </c>
      <c r="F27" s="46">
        <f t="shared" si="1"/>
        <v>4.5595476928688677E-2</v>
      </c>
      <c r="G27" s="46">
        <f t="shared" si="4"/>
        <v>4.9516687944555902E-2</v>
      </c>
      <c r="H27" s="46">
        <f t="shared" si="5"/>
        <v>0.95048331205544412</v>
      </c>
      <c r="I27" s="46">
        <f t="shared" si="2"/>
        <v>4.0216224524141303E-3</v>
      </c>
      <c r="J27" s="47">
        <f t="shared" si="3"/>
        <v>4.6763051772257334E-2</v>
      </c>
      <c r="K27" s="7">
        <v>42</v>
      </c>
      <c r="L27" s="7">
        <v>8</v>
      </c>
      <c r="M27" s="37">
        <f>'Q1 (i)'!B12</f>
        <v>3.473E-3</v>
      </c>
      <c r="N27" s="51">
        <f t="shared" si="7"/>
        <v>3.4790448644342279E-3</v>
      </c>
      <c r="O27" s="51">
        <f t="shared" si="8"/>
        <v>4.6763051772257334E-2</v>
      </c>
      <c r="P27" s="51">
        <f t="shared" si="9"/>
        <v>0.95099916293022091</v>
      </c>
      <c r="Q27" s="51">
        <f t="shared" si="10"/>
        <v>4.9000837069779091E-2</v>
      </c>
      <c r="R27" s="52">
        <f t="shared" si="11"/>
        <v>3.3930930827455832E-3</v>
      </c>
      <c r="S27" s="52">
        <f t="shared" si="12"/>
        <v>4.560774398703351E-2</v>
      </c>
      <c r="T27" s="52">
        <f t="shared" si="15"/>
        <v>0.65973284375434815</v>
      </c>
      <c r="U27" s="52">
        <f t="shared" si="16"/>
        <v>2.3538768863955381E-3</v>
      </c>
      <c r="V27" s="5">
        <f t="shared" si="14"/>
        <v>0.67683936202868722</v>
      </c>
      <c r="W27" s="40">
        <f t="shared" si="13"/>
        <v>159.31965300820286</v>
      </c>
    </row>
    <row r="28" spans="1:23">
      <c r="A28" s="27">
        <v>43</v>
      </c>
      <c r="B28" s="28">
        <f t="shared" si="6"/>
        <v>10423</v>
      </c>
      <c r="C28" s="28">
        <v>44</v>
      </c>
      <c r="D28" s="29">
        <v>470</v>
      </c>
      <c r="E28" s="45">
        <f t="shared" si="0"/>
        <v>4.221433368511945E-3</v>
      </c>
      <c r="F28" s="46">
        <f t="shared" si="1"/>
        <v>4.5092583709104864E-2</v>
      </c>
      <c r="G28" s="46">
        <f t="shared" si="4"/>
        <v>4.931401707761681E-2</v>
      </c>
      <c r="H28" s="46">
        <f t="shared" si="5"/>
        <v>0.95068598292238315</v>
      </c>
      <c r="I28" s="46">
        <f t="shared" si="2"/>
        <v>4.3290750543552746E-3</v>
      </c>
      <c r="J28" s="47">
        <f t="shared" si="3"/>
        <v>4.6242392626067705E-2</v>
      </c>
      <c r="K28" s="7">
        <v>43</v>
      </c>
      <c r="L28" s="7">
        <v>9</v>
      </c>
      <c r="M28" s="37">
        <f>'Q1 (i)'!B13</f>
        <v>3.7109999999999999E-3</v>
      </c>
      <c r="N28" s="51">
        <f t="shared" si="7"/>
        <v>3.7179028434263929E-3</v>
      </c>
      <c r="O28" s="51">
        <f t="shared" si="8"/>
        <v>4.6242392626067705E-2</v>
      </c>
      <c r="P28" s="51">
        <f t="shared" si="9"/>
        <v>0.95126719336820986</v>
      </c>
      <c r="Q28" s="51">
        <f t="shared" si="10"/>
        <v>4.8732806631790138E-2</v>
      </c>
      <c r="R28" s="52">
        <f t="shared" si="11"/>
        <v>3.626556621449777E-3</v>
      </c>
      <c r="S28" s="52">
        <f t="shared" si="12"/>
        <v>4.5106250010340361E-2</v>
      </c>
      <c r="T28" s="52">
        <f t="shared" si="15"/>
        <v>0.62758221065102648</v>
      </c>
      <c r="U28" s="52">
        <f t="shared" si="16"/>
        <v>2.3925585129052226E-3</v>
      </c>
      <c r="V28" s="5">
        <f t="shared" si="14"/>
        <v>0.64460891621779726</v>
      </c>
      <c r="W28" s="40">
        <f t="shared" si="13"/>
        <v>154.22645499915004</v>
      </c>
    </row>
    <row r="29" spans="1:23">
      <c r="A29" s="27">
        <v>44</v>
      </c>
      <c r="B29" s="28">
        <f t="shared" si="6"/>
        <v>9909</v>
      </c>
      <c r="C29" s="28">
        <v>44</v>
      </c>
      <c r="D29" s="29">
        <v>440</v>
      </c>
      <c r="E29" s="45">
        <f t="shared" si="0"/>
        <v>4.4404077101624787E-3</v>
      </c>
      <c r="F29" s="46">
        <f t="shared" si="1"/>
        <v>4.4404077101624785E-2</v>
      </c>
      <c r="G29" s="46">
        <f t="shared" si="4"/>
        <v>4.8844484811787263E-2</v>
      </c>
      <c r="H29" s="46">
        <f t="shared" si="5"/>
        <v>0.95115551518821273</v>
      </c>
      <c r="I29" s="46">
        <f t="shared" si="2"/>
        <v>4.5525183402443494E-3</v>
      </c>
      <c r="J29" s="47">
        <f t="shared" si="3"/>
        <v>4.5525183402443485E-2</v>
      </c>
      <c r="K29" s="7">
        <v>44</v>
      </c>
      <c r="L29" s="7">
        <v>10</v>
      </c>
      <c r="M29" s="37">
        <f>'Q1 (i)'!B14</f>
        <v>3.9569999999999996E-3</v>
      </c>
      <c r="N29" s="51">
        <f t="shared" si="7"/>
        <v>3.964849638689546E-3</v>
      </c>
      <c r="O29" s="51">
        <f t="shared" si="8"/>
        <v>4.5525183402443485E-2</v>
      </c>
      <c r="P29" s="51">
        <f t="shared" si="9"/>
        <v>0.95171464378989834</v>
      </c>
      <c r="Q29" s="51">
        <f t="shared" si="10"/>
        <v>4.828535621010166E-2</v>
      </c>
      <c r="R29" s="52">
        <f t="shared" si="11"/>
        <v>3.8683380341350982E-3</v>
      </c>
      <c r="S29" s="52">
        <f t="shared" si="12"/>
        <v>4.4417018175966563E-2</v>
      </c>
      <c r="T29" s="52">
        <f t="shared" si="15"/>
        <v>0.59727918005861858</v>
      </c>
      <c r="U29" s="52">
        <f t="shared" si="16"/>
        <v>2.4277001350079511E-3</v>
      </c>
      <c r="V29" s="5">
        <f t="shared" si="14"/>
        <v>0.61391325354075932</v>
      </c>
      <c r="W29" s="40">
        <f t="shared" si="13"/>
        <v>149.03972885040719</v>
      </c>
    </row>
    <row r="30" spans="1:23">
      <c r="A30" s="27">
        <v>45</v>
      </c>
      <c r="B30" s="28">
        <f t="shared" si="6"/>
        <v>9425</v>
      </c>
      <c r="C30" s="28">
        <v>45</v>
      </c>
      <c r="D30" s="29">
        <v>410</v>
      </c>
      <c r="E30" s="45">
        <f t="shared" si="0"/>
        <v>4.7745358090185673E-3</v>
      </c>
      <c r="F30" s="46">
        <f t="shared" si="1"/>
        <v>4.3501326259946953E-2</v>
      </c>
      <c r="G30" s="46">
        <f t="shared" si="4"/>
        <v>4.8275862068965517E-2</v>
      </c>
      <c r="H30" s="46">
        <f t="shared" si="5"/>
        <v>0.9517241379310345</v>
      </c>
      <c r="I30" s="46">
        <f t="shared" si="2"/>
        <v>4.8936320370365632E-3</v>
      </c>
      <c r="J30" s="47">
        <f t="shared" si="3"/>
        <v>4.4586425226333139E-2</v>
      </c>
      <c r="K30" s="7">
        <v>45</v>
      </c>
      <c r="L30" s="7">
        <v>11</v>
      </c>
      <c r="M30" s="37">
        <f>'Q1 (i)'!B15</f>
        <v>4.2100000000000002E-3</v>
      </c>
      <c r="N30" s="51">
        <f t="shared" si="7"/>
        <v>4.2188870016217515E-3</v>
      </c>
      <c r="O30" s="51">
        <f t="shared" si="8"/>
        <v>4.4586425226333139E-2</v>
      </c>
      <c r="P30" s="51">
        <f t="shared" si="9"/>
        <v>0.95236652576781755</v>
      </c>
      <c r="Q30" s="51">
        <f t="shared" si="10"/>
        <v>4.7633474232182449E-2</v>
      </c>
      <c r="R30" s="52">
        <f t="shared" si="11"/>
        <v>4.1175895841340897E-3</v>
      </c>
      <c r="S30" s="52">
        <f t="shared" si="12"/>
        <v>4.3515884648048363E-2</v>
      </c>
      <c r="T30" s="52">
        <f t="shared" si="15"/>
        <v>0.56882869762587729</v>
      </c>
      <c r="U30" s="52">
        <f t="shared" si="16"/>
        <v>2.4593505306295172E-3</v>
      </c>
      <c r="V30" s="5">
        <f t="shared" si="14"/>
        <v>0.5846792890864374</v>
      </c>
      <c r="W30" s="40">
        <f t="shared" si="13"/>
        <v>143.79313198628188</v>
      </c>
    </row>
    <row r="31" spans="1:23">
      <c r="A31" s="27">
        <v>46</v>
      </c>
      <c r="B31" s="28">
        <f t="shared" si="6"/>
        <v>8970</v>
      </c>
      <c r="C31" s="28">
        <v>45</v>
      </c>
      <c r="D31" s="29">
        <v>380</v>
      </c>
      <c r="E31" s="45">
        <f t="shared" si="0"/>
        <v>5.016722408026756E-3</v>
      </c>
      <c r="F31" s="46">
        <f t="shared" si="1"/>
        <v>4.2363433667781496E-2</v>
      </c>
      <c r="G31" s="46">
        <f t="shared" si="4"/>
        <v>4.7380156075808255E-2</v>
      </c>
      <c r="H31" s="46">
        <f t="shared" si="5"/>
        <v>0.95261984392419174</v>
      </c>
      <c r="I31" s="46">
        <f t="shared" si="2"/>
        <v>5.1394615944512336E-3</v>
      </c>
      <c r="J31" s="47">
        <f t="shared" si="3"/>
        <v>4.339989790869931E-2</v>
      </c>
      <c r="K31" s="7">
        <v>46</v>
      </c>
      <c r="L31" s="7">
        <v>12</v>
      </c>
      <c r="M31" s="37">
        <f>'Q1 (i)'!B16</f>
        <v>4.4689999999999999E-3</v>
      </c>
      <c r="N31" s="51">
        <f t="shared" si="7"/>
        <v>4.4790158321421723E-3</v>
      </c>
      <c r="O31" s="51">
        <f t="shared" si="8"/>
        <v>4.339989790869931E-2</v>
      </c>
      <c r="P31" s="51">
        <f t="shared" si="9"/>
        <v>0.95324920546990921</v>
      </c>
      <c r="Q31" s="51">
        <f t="shared" si="10"/>
        <v>4.6750794530090789E-2</v>
      </c>
      <c r="R31" s="52">
        <f t="shared" si="11"/>
        <v>4.3734816123633747E-3</v>
      </c>
      <c r="S31" s="52">
        <f t="shared" si="12"/>
        <v>4.2377312917727415E-2</v>
      </c>
      <c r="T31" s="52">
        <f t="shared" si="15"/>
        <v>0.5422355040603507</v>
      </c>
      <c r="U31" s="52">
        <f t="shared" si="16"/>
        <v>2.4877618496513803E-3</v>
      </c>
      <c r="V31" s="5">
        <f t="shared" si="14"/>
        <v>0.5568374181775595</v>
      </c>
      <c r="W31" s="40">
        <f t="shared" si="13"/>
        <v>138.52788854005047</v>
      </c>
    </row>
    <row r="32" spans="1:23">
      <c r="A32" s="27">
        <v>47</v>
      </c>
      <c r="B32" s="28">
        <f t="shared" si="6"/>
        <v>8545</v>
      </c>
      <c r="C32" s="28">
        <v>45</v>
      </c>
      <c r="D32" s="29">
        <v>350</v>
      </c>
      <c r="E32" s="45">
        <f t="shared" si="0"/>
        <v>5.2662375658279695E-3</v>
      </c>
      <c r="F32" s="46">
        <f t="shared" si="1"/>
        <v>4.0959625511995321E-2</v>
      </c>
      <c r="G32" s="46">
        <f t="shared" si="4"/>
        <v>4.6225863077823288E-2</v>
      </c>
      <c r="H32" s="46">
        <f t="shared" si="5"/>
        <v>0.95377413692217672</v>
      </c>
      <c r="I32" s="46">
        <f t="shared" si="2"/>
        <v>5.3918418206714653E-3</v>
      </c>
      <c r="J32" s="47">
        <f t="shared" si="3"/>
        <v>4.1936547494111402E-2</v>
      </c>
      <c r="K32" s="7">
        <v>47</v>
      </c>
      <c r="L32" s="7">
        <v>13</v>
      </c>
      <c r="M32" s="37">
        <f>'Q1 (i)'!B17</f>
        <v>4.7320000000000001E-3</v>
      </c>
      <c r="N32" s="51">
        <f t="shared" si="7"/>
        <v>4.7432313571951906E-3</v>
      </c>
      <c r="O32" s="51">
        <f t="shared" si="8"/>
        <v>4.1936547494111402E-2</v>
      </c>
      <c r="P32" s="51">
        <f t="shared" si="9"/>
        <v>0.95439296547481978</v>
      </c>
      <c r="Q32" s="51">
        <f t="shared" si="10"/>
        <v>4.5607034525180223E-2</v>
      </c>
      <c r="R32" s="52">
        <f t="shared" si="11"/>
        <v>4.6342275304601934E-3</v>
      </c>
      <c r="S32" s="52">
        <f t="shared" si="12"/>
        <v>4.0972806994720029E-2</v>
      </c>
      <c r="T32" s="52">
        <f t="shared" si="15"/>
        <v>0.51750575070589178</v>
      </c>
      <c r="U32" s="52">
        <f t="shared" si="16"/>
        <v>2.5128427009094372E-3</v>
      </c>
      <c r="V32" s="5">
        <f t="shared" si="14"/>
        <v>0.53032135064529462</v>
      </c>
      <c r="W32" s="40">
        <f t="shared" si="13"/>
        <v>133.26141351054628</v>
      </c>
    </row>
    <row r="33" spans="1:23">
      <c r="A33" s="27">
        <v>48</v>
      </c>
      <c r="B33" s="28">
        <f t="shared" si="6"/>
        <v>8150</v>
      </c>
      <c r="C33" s="28">
        <v>46</v>
      </c>
      <c r="D33" s="29">
        <v>320</v>
      </c>
      <c r="E33" s="45">
        <f t="shared" si="0"/>
        <v>5.644171779141104E-3</v>
      </c>
      <c r="F33" s="46">
        <f t="shared" si="1"/>
        <v>3.9263803680981597E-2</v>
      </c>
      <c r="G33" s="46">
        <f t="shared" si="4"/>
        <v>4.49079754601227E-2</v>
      </c>
      <c r="H33" s="46">
        <f t="shared" si="5"/>
        <v>0.95509202453987729</v>
      </c>
      <c r="I33" s="46">
        <f t="shared" si="2"/>
        <v>5.7748327567680351E-3</v>
      </c>
      <c r="J33" s="47">
        <f t="shared" si="3"/>
        <v>4.0172749612299379E-2</v>
      </c>
      <c r="K33" s="7">
        <v>48</v>
      </c>
      <c r="L33" s="7">
        <v>14</v>
      </c>
      <c r="M33" s="37">
        <f>'Q1 (i)'!B18</f>
        <v>5.0000000000000001E-3</v>
      </c>
      <c r="N33" s="51">
        <f t="shared" si="7"/>
        <v>5.0125418235442863E-3</v>
      </c>
      <c r="O33" s="51">
        <f t="shared" si="8"/>
        <v>4.0172749612299379E-2</v>
      </c>
      <c r="P33" s="51">
        <f t="shared" si="9"/>
        <v>0.95582036009710525</v>
      </c>
      <c r="Q33" s="51">
        <f t="shared" si="10"/>
        <v>4.4179639902894752E-2</v>
      </c>
      <c r="R33" s="52">
        <f t="shared" si="11"/>
        <v>4.9009818400046175E-3</v>
      </c>
      <c r="S33" s="52">
        <f t="shared" si="12"/>
        <v>3.9278658062890139E-2</v>
      </c>
      <c r="T33" s="52">
        <f t="shared" si="15"/>
        <v>0.49464253299202826</v>
      </c>
      <c r="U33" s="52">
        <f t="shared" si="16"/>
        <v>2.5362862863075324E-3</v>
      </c>
      <c r="V33" s="5">
        <f t="shared" si="14"/>
        <v>0.50506795299551888</v>
      </c>
      <c r="W33" s="40">
        <f t="shared" si="13"/>
        <v>128.0996922835952</v>
      </c>
    </row>
    <row r="34" spans="1:23">
      <c r="A34" s="27">
        <v>49</v>
      </c>
      <c r="B34" s="28">
        <f t="shared" si="6"/>
        <v>7784</v>
      </c>
      <c r="C34" s="28">
        <v>46</v>
      </c>
      <c r="D34" s="29">
        <v>280</v>
      </c>
      <c r="E34" s="45">
        <f t="shared" ref="E34:E44" si="17">C34/$B34</f>
        <v>5.9095580678314493E-3</v>
      </c>
      <c r="F34" s="46">
        <f t="shared" ref="F34:F44" si="18">D34/$B34</f>
        <v>3.5971223021582732E-2</v>
      </c>
      <c r="G34" s="46">
        <f t="shared" si="4"/>
        <v>4.1880781089414183E-2</v>
      </c>
      <c r="H34" s="46">
        <f t="shared" si="5"/>
        <v>0.95811921891058582</v>
      </c>
      <c r="I34" s="46">
        <f t="shared" ref="I34:J44" si="19">E34/$G34*-LN($H34)</f>
        <v>6.0368739381762076E-3</v>
      </c>
      <c r="J34" s="47">
        <f t="shared" si="19"/>
        <v>3.6746189188898659E-2</v>
      </c>
      <c r="K34" s="7">
        <v>49</v>
      </c>
      <c r="L34" s="7">
        <v>15</v>
      </c>
      <c r="M34" s="37">
        <f>'Q1 (i)'!B19</f>
        <v>5.2690000000000002E-3</v>
      </c>
      <c r="N34" s="51">
        <f t="shared" si="7"/>
        <v>5.2829301339629734E-3</v>
      </c>
      <c r="O34" s="51">
        <f t="shared" si="8"/>
        <v>3.6746189188898659E-2</v>
      </c>
      <c r="P34" s="51">
        <f t="shared" si="9"/>
        <v>0.95884185934028743</v>
      </c>
      <c r="Q34" s="51">
        <f t="shared" si="10"/>
        <v>4.1158140659712572E-2</v>
      </c>
      <c r="R34" s="52">
        <f t="shared" si="11"/>
        <v>5.1734508134413546E-3</v>
      </c>
      <c r="S34" s="52">
        <f t="shared" si="12"/>
        <v>3.598468984627122E-2</v>
      </c>
      <c r="T34" s="52">
        <f t="shared" si="15"/>
        <v>0.47428396604286582</v>
      </c>
      <c r="U34" s="52">
        <f t="shared" si="16"/>
        <v>2.5590088146703006E-3</v>
      </c>
      <c r="V34" s="5">
        <f t="shared" si="14"/>
        <v>0.48101709809097021</v>
      </c>
      <c r="W34" s="40">
        <f t="shared" si="13"/>
        <v>123.09269940219214</v>
      </c>
    </row>
    <row r="35" spans="1:23">
      <c r="A35" s="27">
        <v>50</v>
      </c>
      <c r="B35" s="28">
        <f t="shared" si="6"/>
        <v>7458</v>
      </c>
      <c r="C35" s="28">
        <v>46</v>
      </c>
      <c r="D35" s="29">
        <v>450</v>
      </c>
      <c r="E35" s="45">
        <f t="shared" si="17"/>
        <v>6.1678734245105924E-3</v>
      </c>
      <c r="F35" s="46">
        <f t="shared" si="18"/>
        <v>6.0337892196299273E-2</v>
      </c>
      <c r="G35" s="46">
        <f t="shared" si="4"/>
        <v>6.650576562080987E-2</v>
      </c>
      <c r="H35" s="46">
        <f t="shared" si="5"/>
        <v>0.9334942343791901</v>
      </c>
      <c r="I35" s="46">
        <f t="shared" si="19"/>
        <v>6.3825456631039692E-3</v>
      </c>
      <c r="J35" s="47">
        <f t="shared" si="19"/>
        <v>6.2437946704277957E-2</v>
      </c>
      <c r="K35" s="7">
        <v>50</v>
      </c>
      <c r="L35" s="7">
        <v>16</v>
      </c>
      <c r="M35" s="37">
        <f>'Q1 (i)'!B20</f>
        <v>5.5409999999999999E-3</v>
      </c>
      <c r="N35" s="51">
        <f t="shared" si="7"/>
        <v>5.5564082850649765E-3</v>
      </c>
      <c r="O35" s="51">
        <f t="shared" si="8"/>
        <v>6.2437946704277957E-2</v>
      </c>
      <c r="P35" s="51">
        <f t="shared" si="9"/>
        <v>0.93426574750242908</v>
      </c>
      <c r="Q35" s="51">
        <f t="shared" si="10"/>
        <v>6.5734252497570922E-2</v>
      </c>
      <c r="R35" s="52">
        <f t="shared" si="11"/>
        <v>5.3717157144486912E-3</v>
      </c>
      <c r="S35" s="52">
        <f t="shared" si="12"/>
        <v>6.0362536783122228E-2</v>
      </c>
      <c r="T35" s="52">
        <f t="shared" si="15"/>
        <v>0.44310726406345474</v>
      </c>
      <c r="U35" s="52">
        <f t="shared" si="16"/>
        <v>2.5477186335035118E-3</v>
      </c>
      <c r="V35" s="5">
        <f t="shared" si="14"/>
        <v>0.45811152199140021</v>
      </c>
      <c r="W35" s="40">
        <f t="shared" si="13"/>
        <v>116.71392608001442</v>
      </c>
    </row>
    <row r="36" spans="1:23">
      <c r="A36" s="27">
        <v>51</v>
      </c>
      <c r="B36" s="28">
        <f t="shared" si="6"/>
        <v>6962</v>
      </c>
      <c r="C36" s="28">
        <v>46</v>
      </c>
      <c r="D36" s="29">
        <v>280</v>
      </c>
      <c r="E36" s="45">
        <f t="shared" si="17"/>
        <v>6.6072967538063779E-3</v>
      </c>
      <c r="F36" s="46">
        <f t="shared" si="18"/>
        <v>4.0218328066647518E-2</v>
      </c>
      <c r="G36" s="46">
        <f t="shared" si="4"/>
        <v>4.6825624820453896E-2</v>
      </c>
      <c r="H36" s="46">
        <f t="shared" si="5"/>
        <v>0.95317437517954606</v>
      </c>
      <c r="I36" s="46">
        <f t="shared" si="19"/>
        <v>6.766997499411842E-3</v>
      </c>
      <c r="J36" s="47">
        <f t="shared" si="19"/>
        <v>4.1190419561637305E-2</v>
      </c>
      <c r="K36" s="7">
        <v>51</v>
      </c>
      <c r="L36" s="7">
        <v>17</v>
      </c>
      <c r="M36" s="37">
        <f>'Q1 (i)'!B21</f>
        <v>5.8120000000000003E-3</v>
      </c>
      <c r="N36" s="51">
        <f t="shared" si="7"/>
        <v>5.828955400442975E-3</v>
      </c>
      <c r="O36" s="51">
        <f t="shared" si="8"/>
        <v>4.1190419561637305E-2</v>
      </c>
      <c r="P36" s="51">
        <f t="shared" si="9"/>
        <v>0.95406891236229741</v>
      </c>
      <c r="Q36" s="51">
        <f t="shared" si="10"/>
        <v>4.5931087637702595E-2</v>
      </c>
      <c r="R36" s="52">
        <f t="shared" si="11"/>
        <v>5.6940412659658391E-3</v>
      </c>
      <c r="S36" s="52">
        <f t="shared" si="12"/>
        <v>4.0237046371736758E-2</v>
      </c>
      <c r="T36" s="52">
        <f t="shared" si="15"/>
        <v>0.42275486548485358</v>
      </c>
      <c r="U36" s="52">
        <f t="shared" si="16"/>
        <v>2.5230710468265331E-3</v>
      </c>
      <c r="V36" s="5">
        <f t="shared" si="14"/>
        <v>0.43629668761085727</v>
      </c>
      <c r="W36" s="40">
        <f t="shared" si="13"/>
        <v>110.08075403372746</v>
      </c>
    </row>
    <row r="37" spans="1:23">
      <c r="A37" s="27">
        <v>52</v>
      </c>
      <c r="B37" s="28">
        <f t="shared" si="6"/>
        <v>6636</v>
      </c>
      <c r="C37" s="28">
        <v>45</v>
      </c>
      <c r="D37" s="29">
        <v>250</v>
      </c>
      <c r="E37" s="45">
        <f t="shared" si="17"/>
        <v>6.7811934900542494E-3</v>
      </c>
      <c r="F37" s="46">
        <f t="shared" si="18"/>
        <v>3.7673297166968052E-2</v>
      </c>
      <c r="G37" s="46">
        <f t="shared" si="4"/>
        <v>4.4454490657022304E-2</v>
      </c>
      <c r="H37" s="46">
        <f t="shared" si="5"/>
        <v>0.95554550934297766</v>
      </c>
      <c r="I37" s="46">
        <f t="shared" si="19"/>
        <v>6.9365421778429101E-3</v>
      </c>
      <c r="J37" s="47">
        <f t="shared" si="19"/>
        <v>3.8536345432460616E-2</v>
      </c>
      <c r="K37" s="7">
        <v>52</v>
      </c>
      <c r="L37" s="7">
        <v>18</v>
      </c>
      <c r="M37" s="37">
        <f>'Q1 (i)'!B22</f>
        <v>6.0819999999999997E-3</v>
      </c>
      <c r="N37" s="51">
        <f t="shared" si="7"/>
        <v>6.1005706982791338E-3</v>
      </c>
      <c r="O37" s="51">
        <f t="shared" si="8"/>
        <v>3.8536345432460616E-2</v>
      </c>
      <c r="P37" s="51">
        <f t="shared" si="9"/>
        <v>0.95634465211995845</v>
      </c>
      <c r="Q37" s="51">
        <f t="shared" si="10"/>
        <v>4.3655347880041551E-2</v>
      </c>
      <c r="R37" s="52">
        <f t="shared" si="11"/>
        <v>5.9664188117323214E-3</v>
      </c>
      <c r="S37" s="52">
        <f t="shared" si="12"/>
        <v>3.7688929068309229E-2</v>
      </c>
      <c r="T37" s="52">
        <f t="shared" si="15"/>
        <v>0.40429935476413215</v>
      </c>
      <c r="U37" s="52">
        <f t="shared" si="16"/>
        <v>2.5223325821801977E-3</v>
      </c>
      <c r="V37" s="5">
        <f t="shared" si="14"/>
        <v>0.41552065486748313</v>
      </c>
      <c r="W37" s="40">
        <f t="shared" si="13"/>
        <v>104.80812863411055</v>
      </c>
    </row>
    <row r="38" spans="1:23">
      <c r="A38" s="27">
        <v>53</v>
      </c>
      <c r="B38" s="28">
        <f t="shared" si="6"/>
        <v>6341</v>
      </c>
      <c r="C38" s="28">
        <v>45</v>
      </c>
      <c r="D38" s="29">
        <v>220</v>
      </c>
      <c r="E38" s="45">
        <f t="shared" si="17"/>
        <v>7.0966724491405139E-3</v>
      </c>
      <c r="F38" s="46">
        <f t="shared" si="18"/>
        <v>3.4694843084686955E-2</v>
      </c>
      <c r="G38" s="46">
        <f t="shared" si="4"/>
        <v>4.179151553382747E-2</v>
      </c>
      <c r="H38" s="46">
        <f t="shared" si="5"/>
        <v>0.95820848446617257</v>
      </c>
      <c r="I38" s="46">
        <f t="shared" si="19"/>
        <v>7.2492282992323194E-3</v>
      </c>
      <c r="J38" s="47">
        <f t="shared" si="19"/>
        <v>3.5440671685135774E-2</v>
      </c>
      <c r="K38" s="7">
        <v>53</v>
      </c>
      <c r="L38" s="7">
        <v>19</v>
      </c>
      <c r="M38" s="37">
        <f>'Q1 (i)'!B23</f>
        <v>6.3489999999999996E-3</v>
      </c>
      <c r="N38" s="51">
        <f t="shared" si="7"/>
        <v>6.3692406177698283E-3</v>
      </c>
      <c r="O38" s="51">
        <f t="shared" si="8"/>
        <v>3.5440671685135774E-2</v>
      </c>
      <c r="P38" s="51">
        <f t="shared" si="9"/>
        <v>0.95905206724556502</v>
      </c>
      <c r="Q38" s="51">
        <f t="shared" si="10"/>
        <v>4.0947932754434979E-2</v>
      </c>
      <c r="R38" s="52">
        <f t="shared" si="11"/>
        <v>6.2379283320125479E-3</v>
      </c>
      <c r="S38" s="52">
        <f t="shared" si="12"/>
        <v>3.4710004422422433E-2</v>
      </c>
      <c r="T38" s="52">
        <f t="shared" si="15"/>
        <v>0.387744131972589</v>
      </c>
      <c r="U38" s="52">
        <f t="shared" si="16"/>
        <v>2.5219903996975723E-3</v>
      </c>
      <c r="V38" s="5">
        <f t="shared" si="14"/>
        <v>0.39573395701665059</v>
      </c>
      <c r="W38" s="40">
        <f t="shared" si="13"/>
        <v>99.803724043032446</v>
      </c>
    </row>
    <row r="39" spans="1:23">
      <c r="A39" s="27">
        <v>54</v>
      </c>
      <c r="B39" s="28">
        <f t="shared" si="6"/>
        <v>6076</v>
      </c>
      <c r="C39" s="28">
        <v>45</v>
      </c>
      <c r="D39" s="29">
        <v>190</v>
      </c>
      <c r="E39" s="45">
        <f t="shared" si="17"/>
        <v>7.4061882817643187E-3</v>
      </c>
      <c r="F39" s="46">
        <f t="shared" si="18"/>
        <v>3.1270572745227126E-2</v>
      </c>
      <c r="G39" s="46">
        <f t="shared" si="4"/>
        <v>3.8676761026991448E-2</v>
      </c>
      <c r="H39" s="46">
        <f t="shared" si="5"/>
        <v>0.96132323897300853</v>
      </c>
      <c r="I39" s="46">
        <f t="shared" si="19"/>
        <v>7.5532154697486613E-3</v>
      </c>
      <c r="J39" s="47">
        <f t="shared" si="19"/>
        <v>3.189135420560546E-2</v>
      </c>
      <c r="K39" s="7">
        <v>54</v>
      </c>
      <c r="L39" s="7">
        <v>20</v>
      </c>
      <c r="M39" s="37">
        <f>'Q1 (i)'!B24</f>
        <v>6.6119999999999998E-3</v>
      </c>
      <c r="N39" s="51">
        <f t="shared" si="7"/>
        <v>6.6339561080402233E-3</v>
      </c>
      <c r="O39" s="51">
        <f t="shared" si="8"/>
        <v>3.189135420560546E-2</v>
      </c>
      <c r="P39" s="51">
        <f t="shared" si="9"/>
        <v>0.96220735066177676</v>
      </c>
      <c r="Q39" s="51">
        <f t="shared" si="10"/>
        <v>3.7792649338223239E-2</v>
      </c>
      <c r="R39" s="52">
        <f t="shared" si="11"/>
        <v>6.5077938341102743E-3</v>
      </c>
      <c r="S39" s="52">
        <f t="shared" si="12"/>
        <v>3.128485550411296E-2</v>
      </c>
      <c r="T39" s="52">
        <f t="shared" si="15"/>
        <v>0.37309025395999518</v>
      </c>
      <c r="U39" s="52">
        <f t="shared" si="16"/>
        <v>2.5233588712636553E-3</v>
      </c>
      <c r="V39" s="5">
        <f t="shared" si="14"/>
        <v>0.37688948287300061</v>
      </c>
      <c r="W39" s="40">
        <f t="shared" si="13"/>
        <v>95.102742009355751</v>
      </c>
    </row>
    <row r="40" spans="1:23">
      <c r="A40" s="27">
        <v>55</v>
      </c>
      <c r="B40" s="28">
        <f t="shared" si="6"/>
        <v>5841</v>
      </c>
      <c r="C40" s="28">
        <v>45</v>
      </c>
      <c r="D40" s="29">
        <v>170</v>
      </c>
      <c r="E40" s="45">
        <f t="shared" si="17"/>
        <v>7.7041602465331279E-3</v>
      </c>
      <c r="F40" s="46">
        <f t="shared" si="18"/>
        <v>2.9104605375791816E-2</v>
      </c>
      <c r="G40" s="46">
        <f t="shared" si="4"/>
        <v>3.6808765622324942E-2</v>
      </c>
      <c r="H40" s="46">
        <f t="shared" si="5"/>
        <v>0.96319123437767507</v>
      </c>
      <c r="I40" s="46">
        <f t="shared" si="19"/>
        <v>7.8495289515015092E-3</v>
      </c>
      <c r="J40" s="47">
        <f t="shared" si="19"/>
        <v>2.9653776039005705E-2</v>
      </c>
      <c r="K40" s="7">
        <v>55</v>
      </c>
      <c r="L40" s="7">
        <v>21</v>
      </c>
      <c r="M40" s="37">
        <f>'Q1 (i)'!B25</f>
        <v>6.8789999999999997E-3</v>
      </c>
      <c r="N40" s="51">
        <f t="shared" si="7"/>
        <v>6.9027693896390628E-3</v>
      </c>
      <c r="O40" s="51">
        <f t="shared" si="8"/>
        <v>2.9653776039005705E-2</v>
      </c>
      <c r="P40" s="51">
        <f t="shared" si="9"/>
        <v>0.96410357670498681</v>
      </c>
      <c r="Q40" s="51">
        <f t="shared" si="10"/>
        <v>3.5896423295013191E-2</v>
      </c>
      <c r="R40" s="52">
        <f t="shared" si="11"/>
        <v>6.7781221943413149E-3</v>
      </c>
      <c r="S40" s="52">
        <f t="shared" si="12"/>
        <v>2.9118301100671876E-2</v>
      </c>
      <c r="T40" s="52">
        <f t="shared" si="15"/>
        <v>0.35969764827660322</v>
      </c>
      <c r="U40" s="52">
        <f t="shared" si="16"/>
        <v>2.5288513308586811E-3</v>
      </c>
      <c r="V40" s="5">
        <f t="shared" si="14"/>
        <v>0.35894236464095297</v>
      </c>
      <c r="W40" s="40">
        <f t="shared" si="13"/>
        <v>90.771187652383588</v>
      </c>
    </row>
    <row r="41" spans="1:23">
      <c r="A41" s="27">
        <v>56</v>
      </c>
      <c r="B41" s="28">
        <f t="shared" si="6"/>
        <v>5626</v>
      </c>
      <c r="C41" s="28">
        <v>46</v>
      </c>
      <c r="D41" s="29">
        <v>150</v>
      </c>
      <c r="E41" s="45">
        <f t="shared" si="17"/>
        <v>8.1763242090295059E-3</v>
      </c>
      <c r="F41" s="46">
        <f t="shared" si="18"/>
        <v>2.6661926768574477E-2</v>
      </c>
      <c r="G41" s="46">
        <f t="shared" si="4"/>
        <v>3.4838250977603985E-2</v>
      </c>
      <c r="H41" s="46">
        <f t="shared" si="5"/>
        <v>0.96516174902239604</v>
      </c>
      <c r="I41" s="46">
        <f t="shared" si="19"/>
        <v>8.3221454163457474E-3</v>
      </c>
      <c r="J41" s="47">
        <f t="shared" si="19"/>
        <v>2.7137430705475262E-2</v>
      </c>
      <c r="K41" s="7">
        <v>56</v>
      </c>
      <c r="L41" s="7">
        <v>22</v>
      </c>
      <c r="M41" s="37">
        <f>'Q1 (i)'!B26</f>
        <v>7.1929999999999997E-3</v>
      </c>
      <c r="N41" s="51">
        <f t="shared" si="7"/>
        <v>7.21899435108445E-3</v>
      </c>
      <c r="O41" s="51">
        <f t="shared" si="8"/>
        <v>2.7137430705475262E-2</v>
      </c>
      <c r="P41" s="51">
        <f t="shared" si="9"/>
        <v>0.96622705572305567</v>
      </c>
      <c r="Q41" s="51">
        <f t="shared" si="10"/>
        <v>3.3772944276944328E-2</v>
      </c>
      <c r="R41" s="52">
        <f t="shared" si="11"/>
        <v>7.0963929906380264E-3</v>
      </c>
      <c r="S41" s="52">
        <f t="shared" si="12"/>
        <v>2.6676551286306301E-2</v>
      </c>
      <c r="T41" s="52">
        <f t="shared" si="15"/>
        <v>0.34754959964480958</v>
      </c>
      <c r="U41" s="52">
        <f t="shared" si="16"/>
        <v>2.5525558699790694E-3</v>
      </c>
      <c r="V41" s="5">
        <f t="shared" si="14"/>
        <v>0.3418498710866219</v>
      </c>
      <c r="W41" s="40">
        <f t="shared" ref="W41:W44" si="20">$W$2*U41*V41</f>
        <v>87.25908950937449</v>
      </c>
    </row>
    <row r="42" spans="1:23">
      <c r="A42" s="27">
        <v>57</v>
      </c>
      <c r="B42" s="28">
        <f t="shared" si="6"/>
        <v>5430</v>
      </c>
      <c r="C42" s="28">
        <v>46</v>
      </c>
      <c r="D42" s="29">
        <v>160</v>
      </c>
      <c r="E42" s="45">
        <f t="shared" si="17"/>
        <v>8.4714548802946599E-3</v>
      </c>
      <c r="F42" s="46">
        <f t="shared" si="18"/>
        <v>2.9465930018416207E-2</v>
      </c>
      <c r="G42" s="46">
        <f t="shared" si="4"/>
        <v>3.7937384898710867E-2</v>
      </c>
      <c r="H42" s="46">
        <f t="shared" si="5"/>
        <v>0.9620626151012891</v>
      </c>
      <c r="I42" s="46">
        <f t="shared" si="19"/>
        <v>8.6363307315478234E-3</v>
      </c>
      <c r="J42" s="47">
        <f t="shared" si="19"/>
        <v>3.0039411240166344E-2</v>
      </c>
      <c r="K42" s="7">
        <v>57</v>
      </c>
      <c r="L42" s="7">
        <v>23</v>
      </c>
      <c r="M42" s="37">
        <f>'Q1 (i)'!B27</f>
        <v>7.574E-3</v>
      </c>
      <c r="N42" s="51">
        <f t="shared" si="7"/>
        <v>7.6028283944210729E-3</v>
      </c>
      <c r="O42" s="51">
        <f t="shared" si="8"/>
        <v>3.0039411240166344E-2</v>
      </c>
      <c r="P42" s="51">
        <f t="shared" si="9"/>
        <v>0.96305742304207598</v>
      </c>
      <c r="Q42" s="51">
        <f t="shared" si="10"/>
        <v>3.6942576957924023E-2</v>
      </c>
      <c r="R42" s="52">
        <f t="shared" si="11"/>
        <v>7.4615133367547009E-3</v>
      </c>
      <c r="S42" s="52">
        <f t="shared" si="12"/>
        <v>2.9481063621169319E-2</v>
      </c>
      <c r="T42" s="52">
        <f t="shared" si="15"/>
        <v>0.33471022181323551</v>
      </c>
      <c r="U42" s="52">
        <f t="shared" si="16"/>
        <v>2.5932459729335034E-3</v>
      </c>
      <c r="V42" s="5">
        <f t="shared" si="14"/>
        <v>0.32557130579678267</v>
      </c>
      <c r="W42" s="40">
        <f t="shared" si="20"/>
        <v>84.428647766020887</v>
      </c>
    </row>
    <row r="43" spans="1:23">
      <c r="A43" s="27">
        <v>58</v>
      </c>
      <c r="B43" s="28">
        <f t="shared" si="6"/>
        <v>5224</v>
      </c>
      <c r="C43" s="28">
        <v>47</v>
      </c>
      <c r="D43" s="29">
        <v>180</v>
      </c>
      <c r="E43" s="45">
        <f t="shared" si="17"/>
        <v>8.9969372128637058E-3</v>
      </c>
      <c r="F43" s="46">
        <f t="shared" si="18"/>
        <v>3.4456355283307809E-2</v>
      </c>
      <c r="G43" s="46">
        <f t="shared" si="4"/>
        <v>4.3453292496171511E-2</v>
      </c>
      <c r="H43" s="46">
        <f t="shared" si="5"/>
        <v>0.95654670750382853</v>
      </c>
      <c r="I43" s="46">
        <f t="shared" si="19"/>
        <v>9.1982643249643656E-3</v>
      </c>
      <c r="J43" s="47">
        <f t="shared" si="19"/>
        <v>3.522739528709757E-2</v>
      </c>
      <c r="K43" s="7">
        <v>58</v>
      </c>
      <c r="L43" s="7">
        <v>24</v>
      </c>
      <c r="M43" s="37">
        <f>'Q1 (i)'!B28</f>
        <v>8.0319999999999992E-3</v>
      </c>
      <c r="N43" s="51">
        <f t="shared" si="7"/>
        <v>8.0644302820829794E-3</v>
      </c>
      <c r="O43" s="51">
        <f t="shared" si="8"/>
        <v>3.522739528709757E-2</v>
      </c>
      <c r="P43" s="51">
        <f t="shared" si="9"/>
        <v>0.95763188781533526</v>
      </c>
      <c r="Q43" s="51">
        <f t="shared" si="10"/>
        <v>4.2368112184664741E-2</v>
      </c>
      <c r="R43" s="52">
        <f t="shared" si="11"/>
        <v>7.8923603337240043E-3</v>
      </c>
      <c r="S43" s="52">
        <f t="shared" si="12"/>
        <v>3.447575185094074E-2</v>
      </c>
      <c r="T43" s="52">
        <f t="shared" si="15"/>
        <v>0.32052918158609833</v>
      </c>
      <c r="U43" s="52">
        <f t="shared" si="16"/>
        <v>2.6416536779307431E-3</v>
      </c>
      <c r="V43" s="5">
        <f t="shared" si="14"/>
        <v>0.31006791028265024</v>
      </c>
      <c r="W43" s="40">
        <f t="shared" si="20"/>
        <v>81.909203560646276</v>
      </c>
    </row>
    <row r="44" spans="1:23">
      <c r="A44" s="27">
        <v>59</v>
      </c>
      <c r="B44" s="28">
        <f t="shared" si="6"/>
        <v>4997</v>
      </c>
      <c r="C44" s="28">
        <v>48</v>
      </c>
      <c r="D44" s="29">
        <v>200</v>
      </c>
      <c r="E44" s="45">
        <f t="shared" si="17"/>
        <v>9.6057634580748452E-3</v>
      </c>
      <c r="F44" s="46">
        <f t="shared" si="18"/>
        <v>4.0024014408645184E-2</v>
      </c>
      <c r="G44" s="46">
        <f t="shared" si="4"/>
        <v>4.9629777866720029E-2</v>
      </c>
      <c r="H44" s="46">
        <f t="shared" si="5"/>
        <v>0.95037022213327993</v>
      </c>
      <c r="I44" s="46">
        <f t="shared" si="19"/>
        <v>9.8523218313064289E-3</v>
      </c>
      <c r="J44" s="47">
        <f t="shared" si="19"/>
        <v>4.1051340963776779E-2</v>
      </c>
      <c r="K44" s="7">
        <v>59</v>
      </c>
      <c r="L44" s="7">
        <v>25</v>
      </c>
      <c r="M44" s="37">
        <f>'Q1 (i)'!B29</f>
        <v>8.5800000000000008E-3</v>
      </c>
      <c r="N44" s="51">
        <f t="shared" si="7"/>
        <v>8.617020107114251E-3</v>
      </c>
      <c r="O44" s="51">
        <f t="shared" si="8"/>
        <v>4.1051340963776779E-2</v>
      </c>
      <c r="P44" s="51">
        <f t="shared" si="9"/>
        <v>0.95154494152436442</v>
      </c>
      <c r="Q44" s="51">
        <f t="shared" si="10"/>
        <v>4.8455058475635582E-2</v>
      </c>
      <c r="R44" s="52">
        <f t="shared" si="11"/>
        <v>8.4065228683507711E-3</v>
      </c>
      <c r="S44" s="52">
        <f t="shared" si="12"/>
        <v>4.0048535607284816E-2</v>
      </c>
      <c r="T44" s="52">
        <f t="shared" si="15"/>
        <v>0.30499792134919634</v>
      </c>
      <c r="U44" s="52">
        <f t="shared" si="16"/>
        <v>2.6945358949772924E-3</v>
      </c>
      <c r="V44" s="5">
        <f t="shared" si="14"/>
        <v>0.29530277169776209</v>
      </c>
      <c r="W44" s="40">
        <f t="shared" si="20"/>
        <v>79.570391822590437</v>
      </c>
    </row>
    <row r="45" spans="1:23" ht="13.5" thickBot="1">
      <c r="A45" s="30">
        <v>60</v>
      </c>
      <c r="B45" s="31">
        <f>B44-C44-D44</f>
        <v>4749</v>
      </c>
      <c r="C45" s="31">
        <v>49</v>
      </c>
      <c r="D45" s="32">
        <v>2000</v>
      </c>
      <c r="E45" s="48">
        <f>C45/$B45</f>
        <v>1.0317961676142346E-2</v>
      </c>
      <c r="F45" s="49">
        <f>D45/$B45</f>
        <v>0.42114129290376923</v>
      </c>
      <c r="G45" s="49">
        <f>E45+F45</f>
        <v>0.43145925457991158</v>
      </c>
      <c r="H45" s="49">
        <f>1-G45</f>
        <v>0.56854074542008837</v>
      </c>
      <c r="I45" s="49">
        <f>E45/$G45*-LN($H45)</f>
        <v>1.3503871415948452E-2</v>
      </c>
      <c r="J45" s="50">
        <f>F45/$G45*-LN($H45)</f>
        <v>0.5511784251407531</v>
      </c>
      <c r="K45" s="7">
        <v>60</v>
      </c>
      <c r="L45" s="7"/>
      <c r="M45" s="37">
        <f>'Q1 (i)'!B30</f>
        <v>0</v>
      </c>
      <c r="N45" s="51">
        <f>-LN(1-M45)</f>
        <v>0</v>
      </c>
      <c r="O45" s="51">
        <f>J45</f>
        <v>0.5511784251407531</v>
      </c>
      <c r="P45" s="51">
        <f>EXP(-(N45+O45))</f>
        <v>0.57627031866267653</v>
      </c>
      <c r="Q45" s="51">
        <f>1-P45</f>
        <v>0.42372968133732347</v>
      </c>
      <c r="R45" s="52">
        <f>N45/($N45+$O45)*$Q45</f>
        <v>0</v>
      </c>
      <c r="S45" s="52">
        <f>O45/($N45+$O45)*$Q45</f>
        <v>0.42372968133732347</v>
      </c>
      <c r="T45" s="52">
        <f t="shared" si="15"/>
        <v>0.17576124932735532</v>
      </c>
      <c r="U45" s="52">
        <f t="shared" si="16"/>
        <v>0</v>
      </c>
      <c r="V45" s="5">
        <f t="shared" si="14"/>
        <v>0.28124073495024959</v>
      </c>
      <c r="W45" s="40"/>
    </row>
    <row r="46" spans="1:23">
      <c r="W46" s="41">
        <f>SUM(W11:W44)</f>
        <v>3324.5700832739581</v>
      </c>
    </row>
    <row r="47" spans="1:23" ht="13.5" thickBot="1">
      <c r="A47" s="1"/>
      <c r="B47" s="14"/>
      <c r="C47" s="14"/>
      <c r="E47" s="13"/>
      <c r="F47" s="13"/>
      <c r="G47" s="13"/>
      <c r="H47" s="13"/>
      <c r="I47" s="13"/>
      <c r="J47" s="13"/>
      <c r="M47" s="39">
        <v>2</v>
      </c>
      <c r="N47" s="39">
        <v>3</v>
      </c>
      <c r="O47" s="39">
        <v>2</v>
      </c>
      <c r="P47" s="39">
        <v>3</v>
      </c>
      <c r="Q47" s="39">
        <v>1</v>
      </c>
      <c r="R47" s="39">
        <v>2</v>
      </c>
      <c r="S47" s="39">
        <v>2</v>
      </c>
      <c r="T47" s="39">
        <v>2</v>
      </c>
      <c r="U47" s="39">
        <v>2</v>
      </c>
      <c r="V47" s="39">
        <v>1</v>
      </c>
      <c r="W47" s="39">
        <v>2</v>
      </c>
    </row>
    <row r="48" spans="1:23" ht="13.5" thickBot="1">
      <c r="A48" s="1"/>
      <c r="B48" s="14"/>
      <c r="C48" s="14"/>
      <c r="M48" s="137" t="s">
        <v>17</v>
      </c>
      <c r="N48" s="138"/>
      <c r="O48" s="139"/>
      <c r="P48" s="138" t="s">
        <v>18</v>
      </c>
      <c r="Q48" s="138"/>
      <c r="R48" s="138"/>
      <c r="S48" s="139"/>
      <c r="T48" s="137" t="s">
        <v>19</v>
      </c>
      <c r="U48" s="138"/>
      <c r="V48" s="138"/>
      <c r="W48" s="139"/>
    </row>
    <row r="49" spans="1:17">
      <c r="A49" s="1"/>
      <c r="B49" s="14"/>
      <c r="C49" s="14"/>
      <c r="M49" s="25"/>
      <c r="N49" s="25"/>
      <c r="O49" s="25"/>
      <c r="P49" s="25"/>
      <c r="Q49" s="25"/>
    </row>
    <row r="50" spans="1:17">
      <c r="A50" s="1"/>
      <c r="B50" s="14"/>
      <c r="C50" s="14"/>
      <c r="M50" s="25"/>
      <c r="N50" s="25"/>
      <c r="O50" s="25"/>
      <c r="P50" s="25"/>
      <c r="Q50" s="25"/>
    </row>
    <row r="51" spans="1:17">
      <c r="A51" s="1"/>
      <c r="B51" s="14"/>
      <c r="C51" s="14"/>
    </row>
  </sheetData>
  <mergeCells count="3">
    <mergeCell ref="M48:O48"/>
    <mergeCell ref="P48:S48"/>
    <mergeCell ref="T48:W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cols>
    <col min="1" max="1" width="102.85546875" bestFit="1" customWidth="1"/>
    <col min="2" max="2" width="11.140625" customWidth="1"/>
  </cols>
  <sheetData>
    <row r="1" spans="1:2">
      <c r="A1" t="s">
        <v>10</v>
      </c>
    </row>
    <row r="3" spans="1:2">
      <c r="A3" t="s">
        <v>25</v>
      </c>
      <c r="B3" s="90">
        <v>2</v>
      </c>
    </row>
    <row r="4" spans="1:2">
      <c r="A4" t="s">
        <v>11</v>
      </c>
      <c r="B4" s="90">
        <v>2</v>
      </c>
    </row>
    <row r="5" spans="1:2">
      <c r="A5" t="s">
        <v>12</v>
      </c>
      <c r="B5" s="90">
        <v>2</v>
      </c>
    </row>
    <row r="6" spans="1:2">
      <c r="B6" s="90"/>
    </row>
    <row r="7" spans="1:2">
      <c r="A7" t="s">
        <v>71</v>
      </c>
      <c r="B7" s="90"/>
    </row>
    <row r="8" spans="1:2">
      <c r="A8" t="s">
        <v>72</v>
      </c>
      <c r="B8" s="90">
        <v>2</v>
      </c>
    </row>
    <row r="9" spans="1:2">
      <c r="B9" s="12"/>
    </row>
    <row r="10" spans="1:2">
      <c r="A10" s="42" t="s">
        <v>13</v>
      </c>
      <c r="B10" s="90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cols>
    <col min="2" max="2" width="10.28515625" bestFit="1" customWidth="1"/>
  </cols>
  <sheetData>
    <row r="1" spans="1:2">
      <c r="A1" t="s">
        <v>23</v>
      </c>
      <c r="B1" s="40">
        <f>'Q1 (i)'!K38</f>
        <v>5698.4022489827112</v>
      </c>
    </row>
    <row r="2" spans="1:2">
      <c r="A2" t="s">
        <v>24</v>
      </c>
      <c r="B2" s="40">
        <f>'Q1 (i)'!L38</f>
        <v>3171.0948842872476</v>
      </c>
    </row>
    <row r="4" spans="1:2">
      <c r="A4" t="s">
        <v>22</v>
      </c>
      <c r="B4" s="40">
        <f>'Q1 (iii)'!W46</f>
        <v>3324.5700832739581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7"/>
  <sheetViews>
    <sheetView zoomScale="90" zoomScaleNormal="90" workbookViewId="0">
      <pane ySplit="5" topLeftCell="A18" activePane="bottomLeft" state="frozen"/>
      <selection pane="bottomLeft" activeCell="A6" sqref="A6"/>
    </sheetView>
  </sheetViews>
  <sheetFormatPr defaultRowHeight="12.75"/>
  <cols>
    <col min="2" max="2" width="13.28515625" bestFit="1" customWidth="1"/>
    <col min="3" max="3" width="11.140625" customWidth="1"/>
    <col min="4" max="4" width="13.28515625" bestFit="1" customWidth="1"/>
    <col min="5" max="5" width="12.5703125" customWidth="1"/>
    <col min="6" max="6" width="13.28515625" bestFit="1" customWidth="1"/>
    <col min="7" max="7" width="12.5703125" bestFit="1" customWidth="1"/>
    <col min="8" max="8" width="14" bestFit="1" customWidth="1"/>
    <col min="9" max="9" width="13.28515625" bestFit="1" customWidth="1"/>
    <col min="10" max="10" width="16.140625" bestFit="1" customWidth="1"/>
  </cols>
  <sheetData>
    <row r="1" spans="1:12">
      <c r="B1" s="56"/>
    </row>
    <row r="2" spans="1:12" ht="15">
      <c r="A2" t="s">
        <v>26</v>
      </c>
      <c r="B2" s="57">
        <v>0.1</v>
      </c>
      <c r="D2" s="58"/>
    </row>
    <row r="3" spans="1:12" ht="15">
      <c r="A3" t="s">
        <v>27</v>
      </c>
      <c r="B3">
        <f>((1+B2)^0.5-1)/LN(1+B2)</f>
        <v>0.51210529945865035</v>
      </c>
      <c r="C3" s="94">
        <v>2</v>
      </c>
    </row>
    <row r="4" spans="1:12" ht="13.5" thickBo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60" customHeight="1" thickBot="1">
      <c r="A5" s="60" t="s">
        <v>28</v>
      </c>
      <c r="B5" s="61" t="s">
        <v>29</v>
      </c>
      <c r="C5" s="61" t="s">
        <v>30</v>
      </c>
      <c r="D5" s="61" t="s">
        <v>31</v>
      </c>
      <c r="E5" s="61" t="s">
        <v>32</v>
      </c>
      <c r="F5" s="62" t="s">
        <v>33</v>
      </c>
      <c r="G5" s="63" t="s">
        <v>34</v>
      </c>
      <c r="H5" s="61" t="s">
        <v>35</v>
      </c>
      <c r="I5" s="61" t="s">
        <v>36</v>
      </c>
      <c r="J5" s="62" t="s">
        <v>37</v>
      </c>
      <c r="K5" s="36"/>
      <c r="L5" s="35"/>
    </row>
    <row r="6" spans="1:12">
      <c r="A6" s="64">
        <v>0</v>
      </c>
      <c r="B6" s="65">
        <v>500000</v>
      </c>
      <c r="C6" s="25">
        <v>0</v>
      </c>
      <c r="D6" s="65">
        <v>300000</v>
      </c>
      <c r="E6" s="25">
        <v>3</v>
      </c>
      <c r="F6" s="66">
        <f>B6*(1+$B$2)^((6-C6)/12)+D6*(1+$B$2)^((6-E6)/12)</f>
        <v>831638.53081040946</v>
      </c>
      <c r="G6" s="92">
        <v>0</v>
      </c>
      <c r="H6" s="65">
        <f>G6*$B$3</f>
        <v>0</v>
      </c>
      <c r="I6" s="65">
        <f>H6-F6</f>
        <v>-831638.53081040946</v>
      </c>
      <c r="J6" s="66">
        <f>I6</f>
        <v>-831638.53081040946</v>
      </c>
      <c r="K6" s="25"/>
    </row>
    <row r="7" spans="1:12">
      <c r="A7" s="64">
        <v>0.5</v>
      </c>
      <c r="B7" s="25"/>
      <c r="C7" s="25"/>
      <c r="D7" s="25"/>
      <c r="E7" s="25"/>
      <c r="F7" s="26"/>
      <c r="G7" s="92">
        <f>(500000-INT($A6)*20000)</f>
        <v>500000</v>
      </c>
      <c r="H7" s="65">
        <f t="shared" ref="H7:H45" si="0">G7*$B$3</f>
        <v>256052.64972932517</v>
      </c>
      <c r="I7" s="65">
        <f>H7-F7</f>
        <v>256052.64972932517</v>
      </c>
      <c r="J7" s="66">
        <f>J6*(1+$B$2)^0.5+I7</f>
        <v>-616177.19986385747</v>
      </c>
      <c r="K7" s="25"/>
    </row>
    <row r="8" spans="1:12">
      <c r="A8" s="64">
        <v>1</v>
      </c>
      <c r="B8" s="25"/>
      <c r="C8" s="25"/>
      <c r="D8" s="25"/>
      <c r="E8" s="25"/>
      <c r="F8" s="26"/>
      <c r="G8" s="92">
        <f t="shared" ref="G8:G45" si="1">(500000-INT($A7)*20000)</f>
        <v>500000</v>
      </c>
      <c r="H8" s="65">
        <f t="shared" si="0"/>
        <v>256052.64972932517</v>
      </c>
      <c r="I8" s="65">
        <f t="shared" ref="I8:I45" si="2">H8-F8</f>
        <v>256052.64972932517</v>
      </c>
      <c r="J8" s="66">
        <f>J7*(1+$B$2)^0.5+I8</f>
        <v>-390199.44952859648</v>
      </c>
      <c r="K8" s="25"/>
    </row>
    <row r="9" spans="1:12">
      <c r="A9" s="64">
        <v>1.5</v>
      </c>
      <c r="B9" s="25"/>
      <c r="C9" s="25"/>
      <c r="D9" s="25"/>
      <c r="E9" s="25"/>
      <c r="F9" s="26"/>
      <c r="G9" s="92">
        <f t="shared" si="1"/>
        <v>480000</v>
      </c>
      <c r="H9" s="65">
        <f t="shared" si="0"/>
        <v>245810.54374015218</v>
      </c>
      <c r="I9" s="65">
        <f t="shared" si="2"/>
        <v>245810.54374015218</v>
      </c>
      <c r="J9" s="66">
        <f t="shared" ref="J9:J45" si="3">J8*(1+$B$2)^0.5+I9</f>
        <v>-163434.09147656229</v>
      </c>
      <c r="K9" s="25"/>
    </row>
    <row r="10" spans="1:12">
      <c r="A10" s="64">
        <v>2</v>
      </c>
      <c r="B10" s="25"/>
      <c r="C10" s="25"/>
      <c r="D10" s="25"/>
      <c r="E10" s="25"/>
      <c r="F10" s="26"/>
      <c r="G10" s="92">
        <f t="shared" si="1"/>
        <v>480000</v>
      </c>
      <c r="H10" s="65">
        <f t="shared" si="0"/>
        <v>245810.54374015218</v>
      </c>
      <c r="I10" s="65">
        <f t="shared" si="2"/>
        <v>245810.54374015218</v>
      </c>
      <c r="J10" s="66">
        <f t="shared" si="3"/>
        <v>74399.422506883682</v>
      </c>
      <c r="K10" s="25"/>
    </row>
    <row r="11" spans="1:12">
      <c r="A11" s="64">
        <v>2.5</v>
      </c>
      <c r="B11" s="25"/>
      <c r="C11" s="25"/>
      <c r="D11" s="25"/>
      <c r="E11" s="25"/>
      <c r="F11" s="26"/>
      <c r="G11" s="92">
        <f t="shared" si="1"/>
        <v>460000</v>
      </c>
      <c r="H11" s="65">
        <f t="shared" si="0"/>
        <v>235568.43775097915</v>
      </c>
      <c r="I11" s="65">
        <f t="shared" si="2"/>
        <v>235568.43775097915</v>
      </c>
      <c r="J11" s="66">
        <f t="shared" si="3"/>
        <v>313599.21037494828</v>
      </c>
      <c r="K11" s="25"/>
    </row>
    <row r="12" spans="1:12">
      <c r="A12" s="64">
        <v>3</v>
      </c>
      <c r="B12" s="25"/>
      <c r="C12" s="25"/>
      <c r="D12" s="25"/>
      <c r="E12" s="25"/>
      <c r="F12" s="26"/>
      <c r="G12" s="92">
        <f t="shared" si="1"/>
        <v>460000</v>
      </c>
      <c r="H12" s="65">
        <f t="shared" si="0"/>
        <v>235568.43775097915</v>
      </c>
      <c r="I12" s="65">
        <f t="shared" si="2"/>
        <v>235568.43775097915</v>
      </c>
      <c r="J12" s="66">
        <f t="shared" si="3"/>
        <v>564474.06437139772</v>
      </c>
      <c r="K12" s="25"/>
    </row>
    <row r="13" spans="1:12">
      <c r="A13" s="64">
        <v>3.5</v>
      </c>
      <c r="B13" s="25"/>
      <c r="C13" s="25"/>
      <c r="D13" s="25"/>
      <c r="E13" s="25"/>
      <c r="F13" s="26"/>
      <c r="G13" s="92">
        <f t="shared" si="1"/>
        <v>440000</v>
      </c>
      <c r="H13" s="65">
        <f t="shared" si="0"/>
        <v>225326.33176180616</v>
      </c>
      <c r="I13" s="65">
        <f t="shared" si="2"/>
        <v>225326.33176180616</v>
      </c>
      <c r="J13" s="66">
        <f t="shared" si="3"/>
        <v>817351.72503709584</v>
      </c>
      <c r="K13" s="25"/>
    </row>
    <row r="14" spans="1:12">
      <c r="A14" s="64">
        <v>4</v>
      </c>
      <c r="B14" s="25"/>
      <c r="C14" s="25"/>
      <c r="D14" s="25"/>
      <c r="E14" s="25"/>
      <c r="F14" s="26"/>
      <c r="G14" s="92">
        <f t="shared" si="1"/>
        <v>440000</v>
      </c>
      <c r="H14" s="65">
        <f t="shared" si="0"/>
        <v>225326.33176180616</v>
      </c>
      <c r="I14" s="65">
        <f t="shared" si="2"/>
        <v>225326.33176180616</v>
      </c>
      <c r="J14" s="66">
        <f t="shared" si="3"/>
        <v>1082572.0530478491</v>
      </c>
      <c r="K14" s="25"/>
    </row>
    <row r="15" spans="1:12">
      <c r="A15" s="64">
        <v>4.5</v>
      </c>
      <c r="B15" s="25"/>
      <c r="C15" s="25"/>
      <c r="D15" s="25"/>
      <c r="E15" s="25"/>
      <c r="F15" s="26"/>
      <c r="G15" s="92">
        <f t="shared" si="1"/>
        <v>420000</v>
      </c>
      <c r="H15" s="65">
        <f t="shared" si="0"/>
        <v>215084.22577263316</v>
      </c>
      <c r="I15" s="65">
        <f t="shared" si="2"/>
        <v>215084.22577263316</v>
      </c>
      <c r="J15" s="66">
        <f t="shared" si="3"/>
        <v>1350495.3737909442</v>
      </c>
      <c r="K15" s="25"/>
    </row>
    <row r="16" spans="1:12">
      <c r="A16" s="64">
        <v>5</v>
      </c>
      <c r="B16" s="25"/>
      <c r="C16" s="25"/>
      <c r="D16" s="25"/>
      <c r="E16" s="25"/>
      <c r="F16" s="26"/>
      <c r="G16" s="92">
        <f t="shared" si="1"/>
        <v>420000</v>
      </c>
      <c r="H16" s="65">
        <f t="shared" si="0"/>
        <v>215084.22577263316</v>
      </c>
      <c r="I16" s="65">
        <f t="shared" si="2"/>
        <v>215084.22577263316</v>
      </c>
      <c r="J16" s="66">
        <f t="shared" si="3"/>
        <v>1631495.7232174319</v>
      </c>
      <c r="K16" s="25"/>
    </row>
    <row r="17" spans="1:11">
      <c r="A17" s="64">
        <v>5.5</v>
      </c>
      <c r="B17" s="25"/>
      <c r="C17" s="25"/>
      <c r="D17" s="25"/>
      <c r="E17" s="25"/>
      <c r="F17" s="26"/>
      <c r="G17" s="92">
        <f t="shared" si="1"/>
        <v>400000</v>
      </c>
      <c r="H17" s="65">
        <f t="shared" si="0"/>
        <v>204842.11978346013</v>
      </c>
      <c r="I17" s="65">
        <f t="shared" si="2"/>
        <v>204842.11978346013</v>
      </c>
      <c r="J17" s="66">
        <f t="shared" si="3"/>
        <v>1915969.2700456635</v>
      </c>
      <c r="K17" s="25"/>
    </row>
    <row r="18" spans="1:11">
      <c r="A18" s="64">
        <v>6</v>
      </c>
      <c r="B18" s="25"/>
      <c r="C18" s="25"/>
      <c r="D18" s="25"/>
      <c r="E18" s="25"/>
      <c r="F18" s="26"/>
      <c r="G18" s="92">
        <f t="shared" si="1"/>
        <v>400000</v>
      </c>
      <c r="H18" s="65">
        <f t="shared" si="0"/>
        <v>204842.11978346013</v>
      </c>
      <c r="I18" s="65">
        <f t="shared" si="2"/>
        <v>204842.11978346013</v>
      </c>
      <c r="J18" s="66">
        <f t="shared" si="3"/>
        <v>2214327.6430294584</v>
      </c>
      <c r="K18" s="25"/>
    </row>
    <row r="19" spans="1:11">
      <c r="A19" s="64">
        <v>6.5</v>
      </c>
      <c r="B19" s="25"/>
      <c r="C19" s="25"/>
      <c r="D19" s="25"/>
      <c r="E19" s="25"/>
      <c r="F19" s="26"/>
      <c r="G19" s="92">
        <f t="shared" si="1"/>
        <v>380000</v>
      </c>
      <c r="H19" s="65">
        <f t="shared" si="0"/>
        <v>194600.01379428714</v>
      </c>
      <c r="I19" s="65">
        <f t="shared" si="2"/>
        <v>194600.01379428714</v>
      </c>
      <c r="J19" s="66">
        <f t="shared" si="3"/>
        <v>2517006.4385513398</v>
      </c>
      <c r="K19" s="25"/>
    </row>
    <row r="20" spans="1:11">
      <c r="A20" s="64">
        <v>7</v>
      </c>
      <c r="B20" s="25"/>
      <c r="C20" s="25"/>
      <c r="D20" s="25"/>
      <c r="E20" s="25"/>
      <c r="F20" s="26"/>
      <c r="G20" s="92">
        <f t="shared" si="1"/>
        <v>380000</v>
      </c>
      <c r="H20" s="65">
        <f t="shared" si="0"/>
        <v>194600.01379428714</v>
      </c>
      <c r="I20" s="65">
        <f t="shared" si="2"/>
        <v>194600.01379428714</v>
      </c>
      <c r="J20" s="66">
        <f t="shared" si="3"/>
        <v>2834458.6374481735</v>
      </c>
      <c r="K20" s="25"/>
    </row>
    <row r="21" spans="1:11">
      <c r="A21" s="64">
        <v>7.5</v>
      </c>
      <c r="B21" s="25"/>
      <c r="C21" s="25"/>
      <c r="D21" s="25"/>
      <c r="E21" s="25"/>
      <c r="F21" s="26"/>
      <c r="G21" s="92">
        <f t="shared" si="1"/>
        <v>360000</v>
      </c>
      <c r="H21" s="65">
        <f t="shared" si="0"/>
        <v>184357.90780511414</v>
      </c>
      <c r="I21" s="65">
        <f t="shared" si="2"/>
        <v>184357.90780511414</v>
      </c>
      <c r="J21" s="66">
        <f t="shared" si="3"/>
        <v>3157163.2065330702</v>
      </c>
      <c r="K21" s="25"/>
    </row>
    <row r="22" spans="1:11">
      <c r="A22" s="64">
        <v>8</v>
      </c>
      <c r="B22" s="25"/>
      <c r="C22" s="25"/>
      <c r="D22" s="25"/>
      <c r="E22" s="25"/>
      <c r="F22" s="26"/>
      <c r="G22" s="92">
        <f t="shared" si="1"/>
        <v>360000</v>
      </c>
      <c r="H22" s="65">
        <f t="shared" si="0"/>
        <v>184357.90780511414</v>
      </c>
      <c r="I22" s="65">
        <f t="shared" si="2"/>
        <v>184357.90780511414</v>
      </c>
      <c r="J22" s="66">
        <f t="shared" si="3"/>
        <v>3495618.6139342459</v>
      </c>
      <c r="K22" s="25"/>
    </row>
    <row r="23" spans="1:11">
      <c r="A23" s="64">
        <v>8.5</v>
      </c>
      <c r="B23" s="25"/>
      <c r="C23" s="25"/>
      <c r="D23" s="25"/>
      <c r="E23" s="25"/>
      <c r="F23" s="26"/>
      <c r="G23" s="92">
        <f t="shared" si="1"/>
        <v>340000</v>
      </c>
      <c r="H23" s="65">
        <f t="shared" si="0"/>
        <v>174115.80181594111</v>
      </c>
      <c r="I23" s="65">
        <f t="shared" si="2"/>
        <v>174115.80181594111</v>
      </c>
      <c r="J23" s="66">
        <f t="shared" si="3"/>
        <v>3840351.5339384596</v>
      </c>
      <c r="K23" s="25"/>
    </row>
    <row r="24" spans="1:11">
      <c r="A24" s="64">
        <v>9</v>
      </c>
      <c r="B24" s="25"/>
      <c r="C24" s="25"/>
      <c r="D24" s="25"/>
      <c r="E24" s="25"/>
      <c r="F24" s="26"/>
      <c r="G24" s="92">
        <f t="shared" si="1"/>
        <v>340000</v>
      </c>
      <c r="H24" s="65">
        <f t="shared" si="0"/>
        <v>174115.80181594111</v>
      </c>
      <c r="I24" s="65">
        <f t="shared" si="2"/>
        <v>174115.80181594111</v>
      </c>
      <c r="J24" s="66">
        <f t="shared" si="3"/>
        <v>4201910.4706944115</v>
      </c>
      <c r="K24" s="25"/>
    </row>
    <row r="25" spans="1:11">
      <c r="A25" s="64">
        <v>9.5</v>
      </c>
      <c r="B25" s="25"/>
      <c r="C25" s="25"/>
      <c r="D25" s="25"/>
      <c r="E25" s="25"/>
      <c r="F25" s="26"/>
      <c r="G25" s="92">
        <f t="shared" si="1"/>
        <v>320000</v>
      </c>
      <c r="H25" s="65">
        <f t="shared" si="0"/>
        <v>163873.69582676812</v>
      </c>
      <c r="I25" s="65">
        <f t="shared" si="2"/>
        <v>163873.69582676812</v>
      </c>
      <c r="J25" s="66">
        <f t="shared" si="3"/>
        <v>4570874.576709873</v>
      </c>
      <c r="K25" s="25"/>
    </row>
    <row r="26" spans="1:11" ht="15">
      <c r="A26" s="64">
        <v>10</v>
      </c>
      <c r="B26" s="25"/>
      <c r="C26" s="25"/>
      <c r="D26" s="25"/>
      <c r="E26" s="25"/>
      <c r="F26" s="67"/>
      <c r="G26" s="92">
        <f t="shared" si="1"/>
        <v>320000</v>
      </c>
      <c r="H26" s="65">
        <f t="shared" si="0"/>
        <v>163873.69582676812</v>
      </c>
      <c r="I26" s="65">
        <f t="shared" si="2"/>
        <v>163873.69582676812</v>
      </c>
      <c r="J26" s="66">
        <f>J25*(1+$B$2)^0.5+I26</f>
        <v>4957847.3957560789</v>
      </c>
      <c r="K26" s="25"/>
    </row>
    <row r="27" spans="1:11">
      <c r="A27" s="64">
        <v>10.5</v>
      </c>
      <c r="B27" s="25"/>
      <c r="C27" s="25"/>
      <c r="D27" s="25"/>
      <c r="E27" s="25"/>
      <c r="F27" s="26"/>
      <c r="G27" s="92">
        <f t="shared" si="1"/>
        <v>300000</v>
      </c>
      <c r="H27" s="65">
        <f t="shared" si="0"/>
        <v>153631.58983759509</v>
      </c>
      <c r="I27" s="65">
        <f t="shared" si="2"/>
        <v>153631.58983759509</v>
      </c>
      <c r="J27" s="66">
        <f t="shared" si="3"/>
        <v>5353465.8063839143</v>
      </c>
      <c r="K27" s="25"/>
    </row>
    <row r="28" spans="1:11">
      <c r="A28" s="64">
        <v>11</v>
      </c>
      <c r="B28" s="25"/>
      <c r="C28" s="25"/>
      <c r="D28" s="25"/>
      <c r="E28" s="25"/>
      <c r="F28" s="26"/>
      <c r="G28" s="92">
        <f t="shared" si="1"/>
        <v>300000</v>
      </c>
      <c r="H28" s="65">
        <f t="shared" si="0"/>
        <v>153631.58983759509</v>
      </c>
      <c r="I28" s="65">
        <f t="shared" si="2"/>
        <v>153631.58983759509</v>
      </c>
      <c r="J28" s="66">
        <f t="shared" si="3"/>
        <v>5768393.8959494</v>
      </c>
      <c r="K28" s="25"/>
    </row>
    <row r="29" spans="1:11">
      <c r="A29" s="64">
        <v>11.5</v>
      </c>
      <c r="B29" s="25"/>
      <c r="C29" s="25"/>
      <c r="D29" s="25"/>
      <c r="E29" s="25"/>
      <c r="F29" s="26"/>
      <c r="G29" s="92">
        <f t="shared" si="1"/>
        <v>280000</v>
      </c>
      <c r="H29" s="65">
        <f t="shared" si="0"/>
        <v>143389.4838484221</v>
      </c>
      <c r="I29" s="65">
        <f t="shared" si="2"/>
        <v>143389.4838484221</v>
      </c>
      <c r="J29" s="66">
        <f t="shared" si="3"/>
        <v>6193332.0416508457</v>
      </c>
      <c r="K29" s="25"/>
    </row>
    <row r="30" spans="1:11">
      <c r="A30" s="64">
        <v>12</v>
      </c>
      <c r="B30" s="25"/>
      <c r="C30" s="25"/>
      <c r="D30" s="25"/>
      <c r="E30" s="25"/>
      <c r="F30" s="26"/>
      <c r="G30" s="92">
        <f t="shared" si="1"/>
        <v>280000</v>
      </c>
      <c r="H30" s="65">
        <f t="shared" si="0"/>
        <v>143389.4838484221</v>
      </c>
      <c r="I30" s="65">
        <f t="shared" si="2"/>
        <v>143389.4838484221</v>
      </c>
      <c r="J30" s="66">
        <f t="shared" si="3"/>
        <v>6639010.9287875388</v>
      </c>
      <c r="K30" s="25"/>
    </row>
    <row r="31" spans="1:11">
      <c r="A31" s="64">
        <v>12.5</v>
      </c>
      <c r="B31" s="25"/>
      <c r="C31" s="25"/>
      <c r="D31" s="25"/>
      <c r="E31" s="25"/>
      <c r="F31" s="26"/>
      <c r="G31" s="92">
        <f t="shared" si="1"/>
        <v>260000</v>
      </c>
      <c r="H31" s="65">
        <f t="shared" si="0"/>
        <v>133147.3778592491</v>
      </c>
      <c r="I31" s="65">
        <f t="shared" si="2"/>
        <v>133147.3778592491</v>
      </c>
      <c r="J31" s="66">
        <f t="shared" si="3"/>
        <v>7096200.7830699561</v>
      </c>
      <c r="K31" s="25"/>
    </row>
    <row r="32" spans="1:11">
      <c r="A32" s="64">
        <v>13</v>
      </c>
      <c r="B32" s="25"/>
      <c r="C32" s="25"/>
      <c r="D32" s="25"/>
      <c r="E32" s="25"/>
      <c r="F32" s="26"/>
      <c r="G32" s="92">
        <f t="shared" si="1"/>
        <v>260000</v>
      </c>
      <c r="H32" s="65">
        <f t="shared" si="0"/>
        <v>133147.3778592491</v>
      </c>
      <c r="I32" s="65">
        <f t="shared" si="2"/>
        <v>133147.3778592491</v>
      </c>
      <c r="J32" s="66">
        <f t="shared" si="3"/>
        <v>7575705.5475349771</v>
      </c>
      <c r="K32" s="25"/>
    </row>
    <row r="33" spans="1:13">
      <c r="A33" s="64">
        <v>13.5</v>
      </c>
      <c r="B33" s="25"/>
      <c r="C33" s="25"/>
      <c r="D33" s="25"/>
      <c r="E33" s="25"/>
      <c r="F33" s="26"/>
      <c r="G33" s="92">
        <f t="shared" si="1"/>
        <v>240000</v>
      </c>
      <c r="H33" s="65">
        <f t="shared" si="0"/>
        <v>122905.27187007609</v>
      </c>
      <c r="I33" s="65">
        <f t="shared" si="2"/>
        <v>122905.27187007609</v>
      </c>
      <c r="J33" s="66">
        <f t="shared" si="3"/>
        <v>8068372.2812564634</v>
      </c>
      <c r="K33" s="25"/>
    </row>
    <row r="34" spans="1:13">
      <c r="A34" s="64">
        <v>14</v>
      </c>
      <c r="B34" s="25"/>
      <c r="C34" s="25"/>
      <c r="D34" s="25"/>
      <c r="E34" s="25"/>
      <c r="F34" s="26"/>
      <c r="G34" s="92">
        <f t="shared" si="1"/>
        <v>240000</v>
      </c>
      <c r="H34" s="65">
        <f t="shared" si="0"/>
        <v>122905.27187007609</v>
      </c>
      <c r="I34" s="65">
        <f t="shared" si="2"/>
        <v>122905.27187007609</v>
      </c>
      <c r="J34" s="66">
        <f t="shared" si="3"/>
        <v>8585085.510782646</v>
      </c>
      <c r="K34" s="25"/>
    </row>
    <row r="35" spans="1:13">
      <c r="A35" s="64">
        <v>14.5</v>
      </c>
      <c r="B35" s="25"/>
      <c r="C35" s="25"/>
      <c r="D35" s="25"/>
      <c r="E35" s="25"/>
      <c r="F35" s="26"/>
      <c r="G35" s="92">
        <f t="shared" si="1"/>
        <v>220000</v>
      </c>
      <c r="H35" s="65">
        <f t="shared" si="0"/>
        <v>112663.16588090308</v>
      </c>
      <c r="I35" s="65">
        <f t="shared" si="2"/>
        <v>112663.16588090308</v>
      </c>
      <c r="J35" s="66">
        <f t="shared" si="3"/>
        <v>9116776.8118871078</v>
      </c>
      <c r="K35" s="25"/>
    </row>
    <row r="36" spans="1:13">
      <c r="A36" s="64">
        <v>15</v>
      </c>
      <c r="B36" s="25"/>
      <c r="C36" s="25"/>
      <c r="D36" s="25"/>
      <c r="E36" s="25"/>
      <c r="F36" s="26"/>
      <c r="G36" s="92">
        <f t="shared" si="1"/>
        <v>220000</v>
      </c>
      <c r="H36" s="65">
        <f t="shared" si="0"/>
        <v>112663.16588090308</v>
      </c>
      <c r="I36" s="65">
        <f t="shared" si="2"/>
        <v>112663.16588090308</v>
      </c>
      <c r="J36" s="66">
        <f t="shared" si="3"/>
        <v>9674419.352980569</v>
      </c>
      <c r="K36" s="25"/>
    </row>
    <row r="37" spans="1:13">
      <c r="A37" s="64">
        <v>15.5</v>
      </c>
      <c r="B37" s="25"/>
      <c r="C37" s="25"/>
      <c r="D37" s="25"/>
      <c r="E37" s="25"/>
      <c r="F37" s="26"/>
      <c r="G37" s="92">
        <f t="shared" si="1"/>
        <v>200000</v>
      </c>
      <c r="H37" s="65">
        <f t="shared" si="0"/>
        <v>102421.05989173007</v>
      </c>
      <c r="I37" s="65">
        <f t="shared" si="2"/>
        <v>102421.05989173007</v>
      </c>
      <c r="J37" s="66">
        <f t="shared" si="3"/>
        <v>10249037.678206304</v>
      </c>
      <c r="K37" s="25"/>
    </row>
    <row r="38" spans="1:13">
      <c r="A38" s="64">
        <v>16</v>
      </c>
      <c r="B38" s="25"/>
      <c r="C38" s="25"/>
      <c r="D38" s="25"/>
      <c r="E38" s="25"/>
      <c r="F38" s="26"/>
      <c r="G38" s="92">
        <f t="shared" si="1"/>
        <v>200000</v>
      </c>
      <c r="H38" s="65">
        <f t="shared" si="0"/>
        <v>102421.05989173007</v>
      </c>
      <c r="I38" s="65">
        <f t="shared" si="2"/>
        <v>102421.05989173007</v>
      </c>
      <c r="J38" s="66">
        <f t="shared" si="3"/>
        <v>10851702.46202377</v>
      </c>
      <c r="K38" s="25"/>
    </row>
    <row r="39" spans="1:13">
      <c r="A39" s="64">
        <v>16.5</v>
      </c>
      <c r="B39" s="25"/>
      <c r="C39" s="25"/>
      <c r="D39" s="25"/>
      <c r="E39" s="25"/>
      <c r="F39" s="26"/>
      <c r="G39" s="92">
        <f t="shared" si="1"/>
        <v>180000</v>
      </c>
      <c r="H39" s="65">
        <f t="shared" si="0"/>
        <v>92178.95390255707</v>
      </c>
      <c r="I39" s="65">
        <f t="shared" si="2"/>
        <v>92178.95390255707</v>
      </c>
      <c r="J39" s="66">
        <f t="shared" si="3"/>
        <v>11473540.513782907</v>
      </c>
      <c r="K39" s="25"/>
    </row>
    <row r="40" spans="1:13">
      <c r="A40" s="64">
        <v>17</v>
      </c>
      <c r="B40" s="25"/>
      <c r="C40" s="25"/>
      <c r="D40" s="25"/>
      <c r="E40" s="25"/>
      <c r="F40" s="26"/>
      <c r="G40" s="92">
        <f t="shared" si="1"/>
        <v>180000</v>
      </c>
      <c r="H40" s="65">
        <f t="shared" si="0"/>
        <v>92178.95390255707</v>
      </c>
      <c r="I40" s="65">
        <f t="shared" si="2"/>
        <v>92178.95390255707</v>
      </c>
      <c r="J40" s="66">
        <f t="shared" si="3"/>
        <v>12125729.764596779</v>
      </c>
      <c r="K40" s="25"/>
    </row>
    <row r="41" spans="1:13">
      <c r="A41" s="64">
        <v>17.5</v>
      </c>
      <c r="B41" s="25"/>
      <c r="C41" s="25"/>
      <c r="D41" s="25"/>
      <c r="E41" s="25"/>
      <c r="F41" s="26"/>
      <c r="G41" s="92">
        <f t="shared" si="1"/>
        <v>160000</v>
      </c>
      <c r="H41" s="65">
        <f t="shared" si="0"/>
        <v>81936.847913384059</v>
      </c>
      <c r="I41" s="65">
        <f t="shared" si="2"/>
        <v>81936.847913384059</v>
      </c>
      <c r="J41" s="66">
        <f t="shared" si="3"/>
        <v>12799509.515542656</v>
      </c>
      <c r="K41" s="25"/>
    </row>
    <row r="42" spans="1:13">
      <c r="A42" s="64">
        <v>18</v>
      </c>
      <c r="B42" s="25"/>
      <c r="C42" s="25"/>
      <c r="D42" s="25"/>
      <c r="E42" s="25"/>
      <c r="F42" s="26"/>
      <c r="G42" s="92">
        <f t="shared" si="1"/>
        <v>160000</v>
      </c>
      <c r="H42" s="65">
        <f t="shared" si="0"/>
        <v>81936.847913384059</v>
      </c>
      <c r="I42" s="65">
        <f t="shared" si="2"/>
        <v>81936.847913384059</v>
      </c>
      <c r="J42" s="66">
        <f t="shared" si="3"/>
        <v>13506175.680052573</v>
      </c>
      <c r="K42" s="25"/>
    </row>
    <row r="43" spans="1:13">
      <c r="A43" s="64">
        <v>18.5</v>
      </c>
      <c r="B43" s="25"/>
      <c r="C43" s="25"/>
      <c r="D43" s="25"/>
      <c r="E43" s="25"/>
      <c r="F43" s="26"/>
      <c r="G43" s="92">
        <f t="shared" si="1"/>
        <v>140000</v>
      </c>
      <c r="H43" s="65">
        <f t="shared" si="0"/>
        <v>71694.741924211048</v>
      </c>
      <c r="I43" s="65">
        <f t="shared" si="2"/>
        <v>71694.741924211048</v>
      </c>
      <c r="J43" s="66">
        <f t="shared" si="3"/>
        <v>14237091.300103866</v>
      </c>
      <c r="K43" s="25"/>
    </row>
    <row r="44" spans="1:13">
      <c r="A44" s="64">
        <v>19</v>
      </c>
      <c r="B44" s="25"/>
      <c r="C44" s="25"/>
      <c r="D44" s="25"/>
      <c r="E44" s="25"/>
      <c r="F44" s="26"/>
      <c r="G44" s="92">
        <f t="shared" si="1"/>
        <v>140000</v>
      </c>
      <c r="H44" s="65">
        <f t="shared" si="0"/>
        <v>71694.741924211048</v>
      </c>
      <c r="I44" s="65">
        <f t="shared" si="2"/>
        <v>71694.741924211048</v>
      </c>
      <c r="J44" s="66">
        <f t="shared" si="3"/>
        <v>15003682.069679433</v>
      </c>
      <c r="K44" s="25"/>
    </row>
    <row r="45" spans="1:13" ht="15.75" thickBot="1">
      <c r="A45" s="68">
        <v>19.5</v>
      </c>
      <c r="B45" s="69"/>
      <c r="C45" s="69"/>
      <c r="D45" s="69"/>
      <c r="E45" s="69"/>
      <c r="F45" s="70"/>
      <c r="G45" s="93">
        <f t="shared" si="1"/>
        <v>120000</v>
      </c>
      <c r="H45" s="71">
        <f t="shared" si="0"/>
        <v>61452.635935038044</v>
      </c>
      <c r="I45" s="71">
        <f t="shared" si="2"/>
        <v>61452.635935038044</v>
      </c>
      <c r="J45" s="72">
        <f t="shared" si="3"/>
        <v>15797447.145746682</v>
      </c>
      <c r="K45" s="94">
        <v>2</v>
      </c>
    </row>
    <row r="46" spans="1:13" ht="15">
      <c r="A46" s="25"/>
      <c r="B46" s="25"/>
      <c r="C46" s="25"/>
      <c r="D46" s="25"/>
      <c r="E46" s="25"/>
      <c r="F46" s="59">
        <v>3</v>
      </c>
      <c r="G46" s="59">
        <v>2</v>
      </c>
      <c r="H46" s="59">
        <v>2</v>
      </c>
      <c r="I46" s="59">
        <v>1</v>
      </c>
      <c r="J46" s="59">
        <v>3</v>
      </c>
      <c r="K46" s="59"/>
      <c r="L46" s="59"/>
      <c r="M46" s="59"/>
    </row>
    <row r="47" spans="1:1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>
      <c r="A56" s="34"/>
    </row>
    <row r="57" spans="1:11">
      <c r="A57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1"/>
  <sheetViews>
    <sheetView zoomScale="90" zoomScaleNormal="90" workbookViewId="0">
      <pane ySplit="5" topLeftCell="A6" activePane="bottomLeft" state="frozen"/>
      <selection pane="bottomLeft" activeCell="A6" sqref="A6"/>
    </sheetView>
  </sheetViews>
  <sheetFormatPr defaultRowHeight="12.75"/>
  <cols>
    <col min="1" max="1" width="13.140625" bestFit="1" customWidth="1"/>
    <col min="2" max="2" width="12.5703125" bestFit="1" customWidth="1"/>
    <col min="4" max="4" width="13.5703125" bestFit="1" customWidth="1"/>
    <col min="5" max="5" width="16.42578125" bestFit="1" customWidth="1"/>
    <col min="6" max="6" width="15.85546875" customWidth="1"/>
    <col min="7" max="7" width="15.28515625" bestFit="1" customWidth="1"/>
    <col min="8" max="8" width="16.140625" bestFit="1" customWidth="1"/>
  </cols>
  <sheetData>
    <row r="1" spans="1:10" ht="38.25">
      <c r="B1" s="56"/>
      <c r="D1" s="35" t="s">
        <v>38</v>
      </c>
      <c r="E1" s="40">
        <f>'Q2 (i)'!J45</f>
        <v>15797447.145746682</v>
      </c>
    </row>
    <row r="2" spans="1:10">
      <c r="A2" t="s">
        <v>39</v>
      </c>
      <c r="B2" s="57">
        <v>0.1</v>
      </c>
    </row>
    <row r="3" spans="1:10" ht="15">
      <c r="A3" t="s">
        <v>40</v>
      </c>
      <c r="B3">
        <f>((1+B2)^1-1)/LN(1+B2)</f>
        <v>1.0492058687257071</v>
      </c>
      <c r="C3" s="59">
        <v>2</v>
      </c>
    </row>
    <row r="4" spans="1:10" ht="13.5" thickBot="1"/>
    <row r="5" spans="1:10" ht="51.75" thickBot="1">
      <c r="A5" s="60" t="s">
        <v>41</v>
      </c>
      <c r="B5" s="61" t="s">
        <v>42</v>
      </c>
      <c r="C5" s="61"/>
      <c r="D5" s="61" t="s">
        <v>43</v>
      </c>
      <c r="E5" s="61" t="s">
        <v>44</v>
      </c>
      <c r="F5" s="61" t="s">
        <v>45</v>
      </c>
      <c r="G5" s="61" t="s">
        <v>46</v>
      </c>
      <c r="H5" s="62" t="s">
        <v>47</v>
      </c>
      <c r="I5" s="35"/>
      <c r="J5" s="35"/>
    </row>
    <row r="6" spans="1:10">
      <c r="A6" s="64">
        <v>1</v>
      </c>
      <c r="B6" s="65">
        <v>0</v>
      </c>
      <c r="C6" s="25"/>
      <c r="D6" s="65">
        <f>B6*(1+$B$2)</f>
        <v>0</v>
      </c>
      <c r="E6" s="65">
        <v>70000</v>
      </c>
      <c r="F6" s="65">
        <f>E6*$B$3</f>
        <v>73444.410810799498</v>
      </c>
      <c r="G6" s="65">
        <f>F6-D6</f>
        <v>73444.410810799498</v>
      </c>
      <c r="H6" s="66">
        <f>G6</f>
        <v>73444.410810799498</v>
      </c>
    </row>
    <row r="7" spans="1:10">
      <c r="A7" s="64">
        <v>2</v>
      </c>
      <c r="B7" s="25"/>
      <c r="C7" s="25"/>
      <c r="D7" s="65"/>
      <c r="E7" s="65">
        <f>E6</f>
        <v>70000</v>
      </c>
      <c r="F7" s="65">
        <f t="shared" ref="F7:F25" si="0">E7*$B$3</f>
        <v>73444.410810799498</v>
      </c>
      <c r="G7" s="65">
        <f t="shared" ref="G7:G25" si="1">F7-D7</f>
        <v>73444.410810799498</v>
      </c>
      <c r="H7" s="66">
        <f>H6*(1+$B$2)+G7</f>
        <v>154233.26270267897</v>
      </c>
    </row>
    <row r="8" spans="1:10">
      <c r="A8" s="64">
        <v>3</v>
      </c>
      <c r="B8" s="25"/>
      <c r="C8" s="25"/>
      <c r="D8" s="65"/>
      <c r="E8" s="65">
        <f>E6*1.2^2</f>
        <v>100800</v>
      </c>
      <c r="F8" s="65">
        <f t="shared" si="0"/>
        <v>105759.95156755128</v>
      </c>
      <c r="G8" s="65">
        <f t="shared" si="1"/>
        <v>105759.95156755128</v>
      </c>
      <c r="H8" s="66">
        <f t="shared" ref="H8:H25" si="2">H7*(1+$B$2)+G8</f>
        <v>275416.54054049816</v>
      </c>
    </row>
    <row r="9" spans="1:10">
      <c r="A9" s="64">
        <v>4</v>
      </c>
      <c r="B9" s="25"/>
      <c r="C9" s="25"/>
      <c r="D9" s="65"/>
      <c r="E9" s="65">
        <f t="shared" ref="E9:E25" si="3">E8</f>
        <v>100800</v>
      </c>
      <c r="F9" s="65">
        <f t="shared" si="0"/>
        <v>105759.95156755128</v>
      </c>
      <c r="G9" s="65">
        <f t="shared" si="1"/>
        <v>105759.95156755128</v>
      </c>
      <c r="H9" s="66">
        <f t="shared" si="2"/>
        <v>408718.14616209932</v>
      </c>
    </row>
    <row r="10" spans="1:10">
      <c r="A10" s="64">
        <v>5</v>
      </c>
      <c r="B10" s="25"/>
      <c r="C10" s="25"/>
      <c r="D10" s="65"/>
      <c r="E10" s="65">
        <f t="shared" ref="E10" si="4">E8*1.2^2</f>
        <v>145152</v>
      </c>
      <c r="F10" s="65">
        <f t="shared" si="0"/>
        <v>152294.33025727383</v>
      </c>
      <c r="G10" s="65">
        <f t="shared" si="1"/>
        <v>152294.33025727383</v>
      </c>
      <c r="H10" s="66">
        <f t="shared" si="2"/>
        <v>601884.29103558313</v>
      </c>
    </row>
    <row r="11" spans="1:10">
      <c r="A11" s="64">
        <v>6</v>
      </c>
      <c r="B11" s="25"/>
      <c r="C11" s="25"/>
      <c r="D11" s="65"/>
      <c r="E11" s="65">
        <f t="shared" si="3"/>
        <v>145152</v>
      </c>
      <c r="F11" s="65">
        <f t="shared" si="0"/>
        <v>152294.33025727383</v>
      </c>
      <c r="G11" s="65">
        <f t="shared" si="1"/>
        <v>152294.33025727383</v>
      </c>
      <c r="H11" s="66">
        <f t="shared" si="2"/>
        <v>814367.0503964154</v>
      </c>
    </row>
    <row r="12" spans="1:10">
      <c r="A12" s="64">
        <v>7</v>
      </c>
      <c r="B12" s="25"/>
      <c r="C12" s="25"/>
      <c r="D12" s="65"/>
      <c r="E12" s="65">
        <f t="shared" ref="E12" si="5">E10*1.2^2</f>
        <v>209018.88</v>
      </c>
      <c r="F12" s="65">
        <f t="shared" si="0"/>
        <v>219303.83557047433</v>
      </c>
      <c r="G12" s="65">
        <f t="shared" si="1"/>
        <v>219303.83557047433</v>
      </c>
      <c r="H12" s="66">
        <f t="shared" si="2"/>
        <v>1115107.5910065314</v>
      </c>
    </row>
    <row r="13" spans="1:10">
      <c r="A13" s="64">
        <v>8</v>
      </c>
      <c r="B13" s="25"/>
      <c r="C13" s="25"/>
      <c r="D13" s="65"/>
      <c r="E13" s="65">
        <f t="shared" si="3"/>
        <v>209018.88</v>
      </c>
      <c r="F13" s="65">
        <f t="shared" si="0"/>
        <v>219303.83557047433</v>
      </c>
      <c r="G13" s="65">
        <f t="shared" si="1"/>
        <v>219303.83557047433</v>
      </c>
      <c r="H13" s="66">
        <f t="shared" si="2"/>
        <v>1445922.185677659</v>
      </c>
    </row>
    <row r="14" spans="1:10">
      <c r="A14" s="64">
        <v>9</v>
      </c>
      <c r="B14" s="25"/>
      <c r="C14" s="25"/>
      <c r="D14" s="65"/>
      <c r="E14" s="65">
        <f t="shared" ref="E14" si="6">E12*1.2^2</f>
        <v>300987.18719999999</v>
      </c>
      <c r="F14" s="65">
        <f t="shared" si="0"/>
        <v>315797.52322148299</v>
      </c>
      <c r="G14" s="65">
        <f t="shared" si="1"/>
        <v>315797.52322148299</v>
      </c>
      <c r="H14" s="66">
        <f t="shared" si="2"/>
        <v>1906311.927466908</v>
      </c>
    </row>
    <row r="15" spans="1:10">
      <c r="A15" s="64">
        <v>10</v>
      </c>
      <c r="B15" s="25"/>
      <c r="C15" s="25"/>
      <c r="D15" s="65"/>
      <c r="E15" s="65">
        <f t="shared" si="3"/>
        <v>300987.18719999999</v>
      </c>
      <c r="F15" s="65">
        <f t="shared" si="0"/>
        <v>315797.52322148299</v>
      </c>
      <c r="G15" s="65">
        <f t="shared" si="1"/>
        <v>315797.52322148299</v>
      </c>
      <c r="H15" s="66">
        <f t="shared" si="2"/>
        <v>2412740.6434350819</v>
      </c>
    </row>
    <row r="16" spans="1:10">
      <c r="A16" s="64">
        <v>11</v>
      </c>
      <c r="B16" s="25"/>
      <c r="C16" s="25"/>
      <c r="D16" s="65"/>
      <c r="E16" s="65">
        <f t="shared" ref="E16" si="7">E14*1.2^2</f>
        <v>433421.54956799996</v>
      </c>
      <c r="F16" s="65">
        <f t="shared" si="0"/>
        <v>454748.43343893549</v>
      </c>
      <c r="G16" s="65">
        <f t="shared" si="1"/>
        <v>454748.43343893549</v>
      </c>
      <c r="H16" s="66">
        <f t="shared" si="2"/>
        <v>3108763.1412175256</v>
      </c>
    </row>
    <row r="17" spans="1:11">
      <c r="A17" s="64">
        <v>12</v>
      </c>
      <c r="B17" s="25"/>
      <c r="C17" s="25"/>
      <c r="D17" s="65"/>
      <c r="E17" s="65">
        <f t="shared" si="3"/>
        <v>433421.54956799996</v>
      </c>
      <c r="F17" s="65">
        <f t="shared" si="0"/>
        <v>454748.43343893549</v>
      </c>
      <c r="G17" s="65">
        <f t="shared" si="1"/>
        <v>454748.43343893549</v>
      </c>
      <c r="H17" s="66">
        <f t="shared" si="2"/>
        <v>3874387.8887782139</v>
      </c>
    </row>
    <row r="18" spans="1:11">
      <c r="A18" s="64">
        <v>13</v>
      </c>
      <c r="B18" s="25"/>
      <c r="C18" s="25"/>
      <c r="D18" s="65"/>
      <c r="E18" s="65">
        <f t="shared" ref="E18" si="8">E16*1.2^2</f>
        <v>624127.03137791995</v>
      </c>
      <c r="F18" s="65">
        <f t="shared" si="0"/>
        <v>654837.74415206711</v>
      </c>
      <c r="G18" s="65">
        <f t="shared" si="1"/>
        <v>654837.74415206711</v>
      </c>
      <c r="H18" s="66">
        <f t="shared" si="2"/>
        <v>4916664.4218081031</v>
      </c>
    </row>
    <row r="19" spans="1:11">
      <c r="A19" s="64">
        <v>14</v>
      </c>
      <c r="B19" s="25"/>
      <c r="C19" s="25"/>
      <c r="D19" s="65"/>
      <c r="E19" s="65">
        <f t="shared" si="3"/>
        <v>624127.03137791995</v>
      </c>
      <c r="F19" s="65">
        <f t="shared" si="0"/>
        <v>654837.74415206711</v>
      </c>
      <c r="G19" s="65">
        <f t="shared" si="1"/>
        <v>654837.74415206711</v>
      </c>
      <c r="H19" s="66">
        <f t="shared" si="2"/>
        <v>6063168.6081409808</v>
      </c>
    </row>
    <row r="20" spans="1:11">
      <c r="A20" s="64">
        <v>15</v>
      </c>
      <c r="B20" s="25"/>
      <c r="C20" s="25"/>
      <c r="D20" s="65"/>
      <c r="E20" s="65">
        <f t="shared" ref="E20" si="9">E18*1.2^2</f>
        <v>898742.92518420471</v>
      </c>
      <c r="F20" s="65">
        <f t="shared" si="0"/>
        <v>942966.35157897673</v>
      </c>
      <c r="G20" s="65">
        <f t="shared" si="1"/>
        <v>942966.35157897673</v>
      </c>
      <c r="H20" s="66">
        <f t="shared" si="2"/>
        <v>7612451.8205340561</v>
      </c>
    </row>
    <row r="21" spans="1:11">
      <c r="A21" s="64">
        <v>16</v>
      </c>
      <c r="B21" s="25"/>
      <c r="C21" s="25"/>
      <c r="D21" s="65"/>
      <c r="E21" s="65">
        <f t="shared" si="3"/>
        <v>898742.92518420471</v>
      </c>
      <c r="F21" s="65">
        <f t="shared" si="0"/>
        <v>942966.35157897673</v>
      </c>
      <c r="G21" s="65">
        <f t="shared" si="1"/>
        <v>942966.35157897673</v>
      </c>
      <c r="H21" s="66">
        <f t="shared" si="2"/>
        <v>9316663.3541664388</v>
      </c>
    </row>
    <row r="22" spans="1:11">
      <c r="A22" s="64">
        <v>17</v>
      </c>
      <c r="B22" s="25"/>
      <c r="C22" s="25"/>
      <c r="D22" s="65"/>
      <c r="E22" s="65">
        <f t="shared" ref="E22" si="10">E20*1.2^2</f>
        <v>1294189.8122652548</v>
      </c>
      <c r="F22" s="65">
        <f t="shared" si="0"/>
        <v>1357871.5462737265</v>
      </c>
      <c r="G22" s="65">
        <f t="shared" si="1"/>
        <v>1357871.5462737265</v>
      </c>
      <c r="H22" s="66">
        <f t="shared" si="2"/>
        <v>11606201.235856811</v>
      </c>
    </row>
    <row r="23" spans="1:11">
      <c r="A23" s="64">
        <v>18</v>
      </c>
      <c r="B23" s="25"/>
      <c r="C23" s="25"/>
      <c r="D23" s="65"/>
      <c r="E23" s="65">
        <f t="shared" si="3"/>
        <v>1294189.8122652548</v>
      </c>
      <c r="F23" s="65">
        <f t="shared" si="0"/>
        <v>1357871.5462737265</v>
      </c>
      <c r="G23" s="65">
        <f t="shared" si="1"/>
        <v>1357871.5462737265</v>
      </c>
      <c r="H23" s="66">
        <f t="shared" si="2"/>
        <v>14124692.90571622</v>
      </c>
    </row>
    <row r="24" spans="1:11">
      <c r="A24" s="64">
        <v>19</v>
      </c>
      <c r="B24" s="25"/>
      <c r="C24" s="25"/>
      <c r="D24" s="65"/>
      <c r="E24" s="65">
        <f t="shared" ref="E24" si="11">E22*1.2^2</f>
        <v>1863633.3296619668</v>
      </c>
      <c r="F24" s="65">
        <f t="shared" si="0"/>
        <v>1955335.026634166</v>
      </c>
      <c r="G24" s="65">
        <f t="shared" si="1"/>
        <v>1955335.026634166</v>
      </c>
      <c r="H24" s="66">
        <f t="shared" si="2"/>
        <v>17492497.222922008</v>
      </c>
    </row>
    <row r="25" spans="1:11" ht="13.5" thickBot="1">
      <c r="A25" s="68">
        <v>20</v>
      </c>
      <c r="B25" s="69"/>
      <c r="C25" s="69"/>
      <c r="D25" s="71"/>
      <c r="E25" s="71">
        <f t="shared" si="3"/>
        <v>1863633.3296619668</v>
      </c>
      <c r="F25" s="71">
        <f t="shared" si="0"/>
        <v>1955335.026634166</v>
      </c>
      <c r="G25" s="71">
        <f t="shared" si="1"/>
        <v>1955335.026634166</v>
      </c>
      <c r="H25" s="72">
        <f t="shared" si="2"/>
        <v>21197081.971848376</v>
      </c>
    </row>
    <row r="26" spans="1:11" ht="15">
      <c r="D26" s="59"/>
      <c r="E26" s="94">
        <v>3</v>
      </c>
      <c r="F26" s="94">
        <v>1</v>
      </c>
      <c r="G26" s="94"/>
      <c r="H26" s="94">
        <v>3</v>
      </c>
      <c r="I26" s="95"/>
      <c r="J26" s="95"/>
      <c r="K26" s="95"/>
    </row>
    <row r="27" spans="1:11">
      <c r="E27" s="95"/>
      <c r="F27" s="95"/>
      <c r="G27" s="95"/>
      <c r="H27" s="95"/>
      <c r="I27" s="95"/>
      <c r="J27" s="95"/>
      <c r="K27" s="95"/>
    </row>
    <row r="28" spans="1:11">
      <c r="E28" s="95"/>
      <c r="F28" s="95" t="s">
        <v>48</v>
      </c>
      <c r="G28" s="95"/>
      <c r="H28" s="96">
        <f>H25</f>
        <v>21197081.971848376</v>
      </c>
      <c r="I28" s="95"/>
      <c r="J28" s="95"/>
      <c r="K28" s="95"/>
    </row>
    <row r="29" spans="1:11">
      <c r="E29" s="95"/>
      <c r="F29" s="95"/>
      <c r="G29" s="95"/>
      <c r="H29" s="95"/>
      <c r="I29" s="95"/>
      <c r="J29" s="95"/>
      <c r="K29" s="95"/>
    </row>
    <row r="30" spans="1:11" ht="15">
      <c r="E30" s="95"/>
      <c r="F30" s="95" t="s">
        <v>49</v>
      </c>
      <c r="G30" s="95"/>
      <c r="H30" s="97">
        <f>H25-E1</f>
        <v>5399634.8261016943</v>
      </c>
      <c r="I30" s="94">
        <v>1</v>
      </c>
      <c r="J30" s="95"/>
      <c r="K30" s="95"/>
    </row>
    <row r="31" spans="1:11" ht="15">
      <c r="E31" s="95"/>
      <c r="F31" s="95" t="s">
        <v>50</v>
      </c>
      <c r="G31" s="95"/>
      <c r="H31" s="97">
        <f>H30*(1+$B$2)^-$A$25</f>
        <v>802621.310557271</v>
      </c>
      <c r="I31" s="94">
        <v>2</v>
      </c>
      <c r="J31" s="95"/>
      <c r="K31" s="9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Q1 Base</vt:lpstr>
      <vt:lpstr>Q1 (i)</vt:lpstr>
      <vt:lpstr>Q1 (i) Alternative</vt:lpstr>
      <vt:lpstr>Q1 (ii)</vt:lpstr>
      <vt:lpstr>Q1 (iii)</vt:lpstr>
      <vt:lpstr>Q1 (iv)</vt:lpstr>
      <vt:lpstr>Q1 Answers</vt:lpstr>
      <vt:lpstr>Q2 (i)</vt:lpstr>
      <vt:lpstr>Q2 (ii)</vt:lpstr>
      <vt:lpstr>Q2 (iii)</vt:lpstr>
      <vt:lpstr>Q2 (iv)</vt:lpstr>
      <vt:lpstr>Q2 Answers</vt:lpstr>
      <vt:lpstr>Q2 (iv) with outgo</vt:lpstr>
    </vt:vector>
  </TitlesOfParts>
  <Company>Barnett Waddingham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Calder</dc:creator>
  <cp:lastModifiedBy>Steve Laye</cp:lastModifiedBy>
  <dcterms:created xsi:type="dcterms:W3CDTF">2009-11-04T10:53:22Z</dcterms:created>
  <dcterms:modified xsi:type="dcterms:W3CDTF">2019-10-04T14:35:10Z</dcterms:modified>
</cp:coreProperties>
</file>